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Cours DUT GEA 2ème année\M3106 FA\M3106 2021 2022\"/>
    </mc:Choice>
  </mc:AlternateContent>
  <xr:revisionPtr revIDLastSave="21" documentId="8_{B73A8006-E966-4C88-9AEA-C9A7BB8F7E39}" xr6:coauthVersionLast="36" xr6:coauthVersionMax="36" xr10:uidLastSave="{4C708AA1-A220-4507-8E83-BB77F1FE5E15}"/>
  <bookViews>
    <workbookView xWindow="0" yWindow="0" windowWidth="23040" windowHeight="9390" tabRatio="670" activeTab="4" xr2:uid="{00000000-000D-0000-FFFF-FFFF00000000}"/>
  </bookViews>
  <sheets>
    <sheet name="CAMAS" sheetId="1" r:id="rId1"/>
    <sheet name="BART Exo2" sheetId="15" r:id="rId2"/>
    <sheet name="Exo complémentaire PFU ou non" sheetId="22" r:id="rId3"/>
    <sheet name="BART Exo3" sheetId="16" r:id="rId4"/>
    <sheet name="LAMAZOU" sheetId="17" r:id="rId5"/>
    <sheet name="2J" sheetId="18" r:id="rId6"/>
    <sheet name="PEYRON" sheetId="19" r:id="rId7"/>
    <sheet name="Beaunoise" sheetId="20" r:id="rId8"/>
    <sheet name="Exercice 8" sheetId="21" r:id="rId9"/>
  </sheets>
  <calcPr calcId="191029"/>
</workbook>
</file>

<file path=xl/calcChain.xml><?xml version="1.0" encoding="utf-8"?>
<calcChain xmlns="http://schemas.openxmlformats.org/spreadsheetml/2006/main">
  <c r="B34" i="22" l="1"/>
  <c r="B25" i="22"/>
  <c r="C31" i="22" s="1"/>
  <c r="D31" i="22" s="1"/>
  <c r="B11" i="22"/>
  <c r="C16" i="22" s="1"/>
  <c r="D16" i="22" s="1"/>
  <c r="C30" i="22"/>
  <c r="D30" i="22" s="1"/>
  <c r="D29" i="22"/>
  <c r="D15" i="22"/>
  <c r="B8" i="22"/>
  <c r="B6" i="22"/>
  <c r="B7" i="22"/>
  <c r="E33" i="1"/>
  <c r="D31" i="1"/>
  <c r="D17" i="22" l="1"/>
  <c r="B19" i="22" s="1"/>
  <c r="D32" i="22"/>
  <c r="B36" i="22"/>
  <c r="D23" i="21"/>
  <c r="D22" i="21"/>
  <c r="D21" i="21"/>
  <c r="B21" i="21"/>
  <c r="D19" i="21"/>
  <c r="D18" i="21"/>
  <c r="C18" i="21"/>
  <c r="E13" i="21"/>
  <c r="E12" i="21"/>
  <c r="C10" i="21"/>
  <c r="A10" i="21"/>
  <c r="D34" i="19" l="1"/>
  <c r="B34" i="19"/>
  <c r="C30" i="19"/>
  <c r="D30" i="19" s="1"/>
  <c r="C29" i="19"/>
  <c r="D29" i="19" s="1"/>
  <c r="D28" i="19"/>
  <c r="B25" i="19"/>
  <c r="B24" i="19"/>
  <c r="B23" i="19"/>
  <c r="B18" i="19"/>
  <c r="B17" i="19"/>
  <c r="B16" i="19"/>
  <c r="D14" i="19"/>
  <c r="D12" i="19"/>
  <c r="B9" i="19"/>
  <c r="C13" i="19" s="1"/>
  <c r="D13" i="19" s="1"/>
  <c r="D5" i="19"/>
  <c r="C18" i="18"/>
  <c r="D18" i="18"/>
  <c r="D19" i="18" s="1"/>
  <c r="D20" i="18" s="1"/>
  <c r="D17" i="18"/>
  <c r="B14" i="18"/>
  <c r="B11" i="18"/>
  <c r="B10" i="18"/>
  <c r="B9" i="18"/>
  <c r="B8" i="18"/>
  <c r="B5" i="18"/>
  <c r="C20" i="17"/>
  <c r="D20" i="17" s="1"/>
  <c r="C19" i="17"/>
  <c r="D19" i="17" s="1"/>
  <c r="D18" i="17"/>
  <c r="B13" i="17"/>
  <c r="B14" i="17" s="1"/>
  <c r="B12" i="17"/>
  <c r="D8" i="17"/>
  <c r="D9" i="16"/>
  <c r="D31" i="19" l="1"/>
  <c r="D21" i="17"/>
  <c r="D18" i="1" l="1"/>
  <c r="D17" i="1"/>
  <c r="B46" i="15" l="1"/>
  <c r="B37" i="15"/>
  <c r="C43" i="15" s="1"/>
  <c r="D43" i="15" s="1"/>
  <c r="C42" i="15"/>
  <c r="D42" i="15" s="1"/>
  <c r="D41" i="15"/>
  <c r="D44" i="15" l="1"/>
  <c r="B48" i="15" s="1"/>
  <c r="C28" i="15" l="1"/>
  <c r="D28" i="15" s="1"/>
  <c r="C27" i="15"/>
  <c r="D27" i="15" s="1"/>
  <c r="D26" i="15"/>
  <c r="B22" i="15"/>
  <c r="B15" i="15"/>
  <c r="B19" i="15" s="1"/>
  <c r="E17" i="1"/>
  <c r="D7" i="15"/>
  <c r="B7" i="15"/>
  <c r="E30" i="1"/>
  <c r="C23" i="1"/>
  <c r="E16" i="1"/>
  <c r="E9" i="1"/>
  <c r="C11" i="1" s="1"/>
  <c r="C12" i="1" s="1"/>
  <c r="C9" i="1"/>
  <c r="B9" i="15" l="1"/>
  <c r="B10" i="15" s="1"/>
  <c r="B7" i="16" s="1"/>
  <c r="B10" i="16" s="1"/>
  <c r="D10" i="16" s="1"/>
  <c r="D11" i="16" s="1"/>
  <c r="B18" i="15"/>
  <c r="B17" i="15"/>
  <c r="D29" i="15"/>
  <c r="E18" i="1"/>
  <c r="E19" i="1" s="1"/>
  <c r="C22" i="1"/>
  <c r="C24" i="1" s="1"/>
  <c r="C27" i="1" s="1"/>
  <c r="E31" i="1" s="1"/>
  <c r="E32" i="1" s="1"/>
  <c r="B12" i="15" l="1"/>
  <c r="B3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2" authorId="0" shapeId="0" xr:uid="{63F68A02-6B1C-49C4-A206-18EC77F0E04D}">
      <text>
        <r>
          <rPr>
            <b/>
            <sz val="9"/>
            <color indexed="81"/>
            <rFont val="Tahoma"/>
            <family val="2"/>
          </rPr>
          <t>8500 + 31000 + 3800 + 2500</t>
        </r>
      </text>
    </comment>
  </commentList>
</comments>
</file>

<file path=xl/sharedStrings.xml><?xml version="1.0" encoding="utf-8"?>
<sst xmlns="http://schemas.openxmlformats.org/spreadsheetml/2006/main" count="195" uniqueCount="109">
  <si>
    <t>Résultat fiscal</t>
  </si>
  <si>
    <t>Taux</t>
  </si>
  <si>
    <t>Base</t>
  </si>
  <si>
    <t>TOTAL IS</t>
  </si>
  <si>
    <t>Résultat comptable</t>
  </si>
  <si>
    <t xml:space="preserve">Résultat fiscal </t>
  </si>
  <si>
    <t>Achats de marchandises</t>
  </si>
  <si>
    <t>Services extérieurs</t>
  </si>
  <si>
    <t>Ventes de marchandises</t>
  </si>
  <si>
    <t>TOTAL CHARGES</t>
  </si>
  <si>
    <t>TOTAL PRODUITS</t>
  </si>
  <si>
    <t>CHARGES</t>
  </si>
  <si>
    <t>PRODUITS</t>
  </si>
  <si>
    <t>Charges de personnels</t>
  </si>
  <si>
    <t>IR</t>
  </si>
  <si>
    <t>Impôt</t>
  </si>
  <si>
    <t>Bénéfice fiscal de Monsieur</t>
  </si>
  <si>
    <t>Salaire net de Madame</t>
  </si>
  <si>
    <t>TOTAL Revenus</t>
  </si>
  <si>
    <t>Nombre de parts</t>
  </si>
  <si>
    <t>Quotient familial</t>
  </si>
  <si>
    <t>IMPOT DU POUR UN PART</t>
  </si>
  <si>
    <t>IMPOT DU POUR LE FOYER FISCAL</t>
  </si>
  <si>
    <t>Jusqu' à 10225</t>
  </si>
  <si>
    <t>De 10225 à 26070</t>
  </si>
  <si>
    <t>De 26070 à 74545</t>
  </si>
  <si>
    <t>IS 26,5%</t>
  </si>
  <si>
    <t>Dividendes de M. Colas</t>
  </si>
  <si>
    <t>Montant du PFU (30%)</t>
  </si>
  <si>
    <t>IR (12,8%)</t>
  </si>
  <si>
    <t>IR sur salaire</t>
  </si>
  <si>
    <t>Salaire imposable</t>
  </si>
  <si>
    <t>IMPOT DU PAR M. COLAS</t>
  </si>
  <si>
    <t>TOTAL IMPOT (avec CSG)</t>
  </si>
  <si>
    <t>Sans PFU</t>
  </si>
  <si>
    <t>TOTAL IMPOT (avec CGS)</t>
  </si>
  <si>
    <t>IMPOT DU PAR M. CAMAS</t>
  </si>
  <si>
    <t>CA &lt; 7 630 000€</t>
  </si>
  <si>
    <t>Capital entièrement libéré</t>
  </si>
  <si>
    <t>Capital détenu  par des PP</t>
  </si>
  <si>
    <t>Taux 15%</t>
  </si>
  <si>
    <t>Taux 26,5%</t>
  </si>
  <si>
    <t>Le Cam : 30% du capital</t>
  </si>
  <si>
    <t xml:space="preserve">Quôte part du bénéfice qui lui revient :  </t>
  </si>
  <si>
    <t>Hypothèse : M. Le Cam est célibataire</t>
  </si>
  <si>
    <t xml:space="preserve">Salaire imposable : </t>
  </si>
  <si>
    <t>Quôte part de la SNC</t>
  </si>
  <si>
    <t>TOTAL REVENU</t>
  </si>
  <si>
    <t>IMPOT DU PAR M. LE CAM</t>
  </si>
  <si>
    <t>M. Le Cam a raison ne pas déclarer ses dividendes. Il a déjà déclarer une partie du bénéfice de 2021 dans ses revenus. Sur les  dividendes provenant de  ce bénéfice l'impôt a déjà été payé</t>
  </si>
  <si>
    <t>Déficit de la SCI</t>
  </si>
  <si>
    <t>Quôte part du déficit revenant à Mme Jourdain :</t>
  </si>
  <si>
    <t>Impôt sur le revenu du couple</t>
  </si>
  <si>
    <t>Salaire net Mme Jourdain</t>
  </si>
  <si>
    <t>Salaire net M. Jourdain</t>
  </si>
  <si>
    <t>Déficit SCI</t>
  </si>
  <si>
    <t>REVENUS IMPOSABLES</t>
  </si>
  <si>
    <t>Nbre de parts</t>
  </si>
  <si>
    <t>Hypothèse 1 : SARL soumise à l'IS (régime par défaut)</t>
  </si>
  <si>
    <t>IS Payé par la société</t>
  </si>
  <si>
    <t>IR payé par M. Peyron Loick</t>
  </si>
  <si>
    <t>Rémunraration nette</t>
  </si>
  <si>
    <t>IMPOT DU PAR M. PEYRON LOICK</t>
  </si>
  <si>
    <t>Dividendes reçus par M. Peyron Loick</t>
  </si>
  <si>
    <t>PFU payé par Loick Peyron</t>
  </si>
  <si>
    <t>(dont  CGS - 17,20%)</t>
  </si>
  <si>
    <t>Hypothèse 1 : SARL soumise à l'IR (option)</t>
  </si>
  <si>
    <t xml:space="preserve">Quôte part sur le bénéfice de Loïck Peyron </t>
  </si>
  <si>
    <t>PFU payé sur les dividendes (uniquement la CSG)</t>
  </si>
  <si>
    <t>•	La SA vend le vin à des importateurs anglais qui gèrent eux la même la commercialisation en Grande Bretagne.</t>
  </si>
  <si>
    <t>•	La SA a créé une filiale à Londres qui se charge de la commercialisation du vin en Grande Bretagne</t>
  </si>
  <si>
    <t>Filiale -&gt;  Personnalité juridique donc résultat imposables en Grande Bretagne</t>
  </si>
  <si>
    <t>•	La SA a créé une succursale à Londres qui se charge de la commercialisation du vin en Grande Bretagne</t>
  </si>
  <si>
    <t>Exportation : Imposable en France</t>
  </si>
  <si>
    <t>Succursale -&gt; Pas de personnalité juridique  mais selon le règime français de térritorialité, les bénéfices de la succursale sont imposables en Grande Bretagne</t>
  </si>
  <si>
    <t>Groupe français</t>
  </si>
  <si>
    <t>Impôt payé en France</t>
  </si>
  <si>
    <t>Bénéfice de la société mère en intégrant les bénéfices des surrcusales et des filiales situées en France</t>
  </si>
  <si>
    <t>Impôt payé en Espagne</t>
  </si>
  <si>
    <t>Impôt payé en Italie</t>
  </si>
  <si>
    <t>Groupe Italien</t>
  </si>
  <si>
    <t>Succursale à Paris</t>
  </si>
  <si>
    <t>Filiale à Bordeaux</t>
  </si>
  <si>
    <t>-Impôt payé en France par la succursale</t>
  </si>
  <si>
    <t xml:space="preserve"> Catégorie des BIC</t>
  </si>
  <si>
    <t>Le revenu d'un salarié est diminué de 10% pour frais professionnels  (Traitements et salaires)</t>
  </si>
  <si>
    <t xml:space="preserve">       2 parts pour le couple  + (1/2 part * 2 enfants)</t>
  </si>
  <si>
    <t xml:space="preserve">   64700 / 3  =&gt;  21 567€     -&gt;  Utilité du QF : Placer dans le barème de l'IR</t>
  </si>
  <si>
    <t xml:space="preserve">   '1248  * 3 ( 3 parts)</t>
  </si>
  <si>
    <t xml:space="preserve">  '  54800  + 12000 (dépense somptuaire)</t>
  </si>
  <si>
    <t xml:space="preserve">  '  66 800 * 26,50%</t>
  </si>
  <si>
    <t xml:space="preserve">   ' 35000 * 20%</t>
  </si>
  <si>
    <t>CSG (17,2%)</t>
  </si>
  <si>
    <t xml:space="preserve">   ' 7000 * 30%</t>
  </si>
  <si>
    <t xml:space="preserve">  31000 * 0,90</t>
  </si>
  <si>
    <t xml:space="preserve">   ' 2100 + 2292</t>
  </si>
  <si>
    <t>Revenu imposable</t>
  </si>
  <si>
    <t xml:space="preserve">   7000  * 17,20%</t>
  </si>
  <si>
    <t>CSG sur dividendes</t>
  </si>
  <si>
    <t xml:space="preserve">Dividendes </t>
  </si>
  <si>
    <t xml:space="preserve">   21000  * 17,20%</t>
  </si>
  <si>
    <t>AVEC PFU</t>
  </si>
  <si>
    <t>SANS PFU</t>
  </si>
  <si>
    <t xml:space="preserve">IMPOT DU </t>
  </si>
  <si>
    <t xml:space="preserve">    ' 3484 + 3612</t>
  </si>
  <si>
    <t xml:space="preserve">  ' 21000 * 30%</t>
  </si>
  <si>
    <t xml:space="preserve">   ' 6300 + 1152</t>
  </si>
  <si>
    <t>Il s'agit d'une société de personne, le bénéfice sera imposé sur les revenus des associés (BIC/BNC)</t>
  </si>
  <si>
    <t xml:space="preserve">     25000 *0,90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</si>
</sst>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0" fontId="0" fillId="0" borderId="0" xfId="0" quotePrefix="1"/>
    <xf numFmtId="0" fontId="0" fillId="2" borderId="1" xfId="0" applyFill="1" applyBorder="1"/>
    <xf numFmtId="44" fontId="0" fillId="0" borderId="1" xfId="2" applyFont="1" applyBorder="1"/>
    <xf numFmtId="0" fontId="0" fillId="2" borderId="0" xfId="0" applyFill="1"/>
    <xf numFmtId="164" fontId="0" fillId="0" borderId="0" xfId="2" applyNumberFormat="1" applyFont="1"/>
    <xf numFmtId="164" fontId="0" fillId="0" borderId="1" xfId="2" applyNumberFormat="1" applyFont="1" applyBorder="1"/>
    <xf numFmtId="164" fontId="0" fillId="0" borderId="0" xfId="0" applyNumberFormat="1"/>
    <xf numFmtId="164" fontId="0" fillId="2" borderId="0" xfId="0" applyNumberFormat="1" applyFill="1"/>
    <xf numFmtId="164" fontId="0" fillId="2" borderId="0" xfId="2" applyNumberFormat="1" applyFont="1" applyFill="1"/>
    <xf numFmtId="164" fontId="0" fillId="0" borderId="1" xfId="0" applyNumberFormat="1" applyBorder="1"/>
    <xf numFmtId="164" fontId="0" fillId="2" borderId="1" xfId="2" applyNumberFormat="1" applyFont="1" applyFill="1" applyBorder="1"/>
    <xf numFmtId="0" fontId="5" fillId="0" borderId="0" xfId="0" applyFont="1"/>
    <xf numFmtId="0" fontId="4" fillId="3" borderId="0" xfId="0" applyFont="1" applyFill="1"/>
    <xf numFmtId="164" fontId="4" fillId="3" borderId="0" xfId="0" applyNumberFormat="1" applyFont="1" applyFill="1"/>
    <xf numFmtId="9" fontId="0" fillId="0" borderId="0" xfId="0" applyNumberFormat="1"/>
    <xf numFmtId="10" fontId="0" fillId="0" borderId="0" xfId="0" applyNumberFormat="1"/>
    <xf numFmtId="164" fontId="0" fillId="2" borderId="1" xfId="0" applyNumberFormat="1" applyFill="1" applyBorder="1"/>
    <xf numFmtId="164" fontId="4" fillId="2" borderId="1" xfId="2" applyNumberFormat="1" applyFont="1" applyFill="1" applyBorder="1"/>
    <xf numFmtId="164" fontId="4" fillId="0" borderId="0" xfId="2" applyNumberFormat="1" applyFont="1"/>
    <xf numFmtId="164" fontId="4" fillId="0" borderId="0" xfId="0" applyNumberFormat="1" applyFont="1"/>
    <xf numFmtId="0" fontId="0" fillId="2" borderId="0" xfId="0" quotePrefix="1" applyFill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5" fillId="0" borderId="0" xfId="2" applyNumberFormat="1" applyFont="1"/>
    <xf numFmtId="164" fontId="4" fillId="3" borderId="0" xfId="2" applyNumberFormat="1" applyFont="1" applyFill="1"/>
    <xf numFmtId="164" fontId="0" fillId="3" borderId="1" xfId="2" applyNumberFormat="1" applyFont="1" applyFill="1" applyBorder="1"/>
    <xf numFmtId="164" fontId="0" fillId="4" borderId="1" xfId="2" applyNumberFormat="1" applyFont="1" applyFill="1" applyBorder="1"/>
    <xf numFmtId="164" fontId="0" fillId="4" borderId="0" xfId="2" applyNumberFormat="1" applyFont="1" applyFill="1"/>
    <xf numFmtId="164" fontId="4" fillId="4" borderId="0" xfId="0" applyNumberFormat="1" applyFont="1" applyFill="1"/>
    <xf numFmtId="0" fontId="8" fillId="0" borderId="0" xfId="0" applyFont="1" applyAlignment="1">
      <alignment horizontal="center"/>
    </xf>
    <xf numFmtId="0" fontId="0" fillId="5" borderId="0" xfId="0" applyFill="1"/>
    <xf numFmtId="0" fontId="0" fillId="0" borderId="0" xfId="0" quotePrefix="1" applyAlignment="1">
      <alignment horizontal="right"/>
    </xf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337983</xdr:colOff>
      <xdr:row>10</xdr:row>
      <xdr:rowOff>143388</xdr:rowOff>
    </xdr:from>
    <xdr:to>
      <xdr:col>16</xdr:col>
      <xdr:colOff>515937</xdr:colOff>
      <xdr:row>22</xdr:row>
      <xdr:rowOff>62925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40CA22E-5F2E-4CAF-BCBA-03A670AD96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404" t="34103" r="14378" b="48845"/>
        <a:stretch/>
      </xdr:blipFill>
      <xdr:spPr>
        <a:xfrm>
          <a:off x="7640483" y="2089356"/>
          <a:ext cx="4336180" cy="22546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233975</xdr:colOff>
      <xdr:row>18</xdr:row>
      <xdr:rowOff>166133</xdr:rowOff>
    </xdr:from>
    <xdr:to>
      <xdr:col>9</xdr:col>
      <xdr:colOff>62681</xdr:colOff>
      <xdr:row>26</xdr:row>
      <xdr:rowOff>128865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C420E1-8D5F-4D72-961F-09FEBE8726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404" t="34103" r="14378" b="48845"/>
        <a:stretch/>
      </xdr:blipFill>
      <xdr:spPr>
        <a:xfrm>
          <a:off x="5921286" y="3555261"/>
          <a:ext cx="2885567" cy="1469011"/>
        </a:xfrm>
        <a:prstGeom prst="rect">
          <a:avLst/>
        </a:prstGeom>
      </xdr:spPr>
    </xdr:pic>
    <xdr:clientData/>
  </xdr:twoCellAnchor>
  <xdr:twoCellAnchor>
    <xdr:from>
      <xdr:col>4</xdr:col>
      <xdr:colOff>143983</xdr:colOff>
      <xdr:row>31</xdr:row>
      <xdr:rowOff>143983</xdr:rowOff>
    </xdr:from>
    <xdr:to>
      <xdr:col>9</xdr:col>
      <xdr:colOff>454099</xdr:colOff>
      <xdr:row>40</xdr:row>
      <xdr:rowOff>11077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4AE9259-4B93-43FF-BF48-FCA9FCA1A766}"/>
            </a:ext>
          </a:extLst>
        </xdr:cNvPr>
        <xdr:cNvSpPr txBox="1"/>
      </xdr:nvSpPr>
      <xdr:spPr>
        <a:xfrm>
          <a:off x="5161221" y="5980814"/>
          <a:ext cx="4131192" cy="1561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Salaire : 31000 * 0,90  = 27900€</a:t>
          </a:r>
        </a:p>
        <a:p>
          <a:endParaRPr lang="fr-FR" sz="1100"/>
        </a:p>
        <a:p>
          <a:r>
            <a:rPr lang="fr-FR" sz="1100"/>
            <a:t>Dividendes (sans PFU)</a:t>
          </a:r>
        </a:p>
        <a:p>
          <a:r>
            <a:rPr lang="fr-FR" sz="1100"/>
            <a:t>7000 - (40% * 7000)  =&gt;  4200€</a:t>
          </a:r>
        </a:p>
        <a:p>
          <a:r>
            <a:rPr lang="fr-FR" sz="1100"/>
            <a:t>Une</a:t>
          </a:r>
          <a:r>
            <a:rPr lang="fr-FR" sz="1100" baseline="0"/>
            <a:t> partie de la CSG  (7000 *6,8%)  :  476€</a:t>
          </a:r>
        </a:p>
        <a:p>
          <a:r>
            <a:rPr lang="fr-FR" sz="1100" baseline="0"/>
            <a:t>Déclaration du montant du dividende  :  4200 - 476  =&gt;  3724€</a:t>
          </a:r>
        </a:p>
        <a:p>
          <a:endParaRPr lang="fr-FR" sz="1100"/>
        </a:p>
        <a:p>
          <a:r>
            <a:rPr lang="fr-FR" sz="1100"/>
            <a:t>REVENU</a:t>
          </a:r>
          <a:r>
            <a:rPr lang="fr-FR" sz="1100" baseline="0"/>
            <a:t> IMPOSABLE  :  27900  + 3724  = 31624</a:t>
          </a:r>
          <a:endParaRPr lang="fr-FR" sz="1100"/>
        </a:p>
      </xdr:txBody>
    </xdr:sp>
    <xdr:clientData/>
  </xdr:twoCellAnchor>
  <xdr:twoCellAnchor>
    <xdr:from>
      <xdr:col>2</xdr:col>
      <xdr:colOff>199360</xdr:colOff>
      <xdr:row>36</xdr:row>
      <xdr:rowOff>121831</xdr:rowOff>
    </xdr:from>
    <xdr:to>
      <xdr:col>3</xdr:col>
      <xdr:colOff>587006</xdr:colOff>
      <xdr:row>36</xdr:row>
      <xdr:rowOff>182747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52CF168A-0C07-49C1-8114-B0ED22B993E7}"/>
            </a:ext>
          </a:extLst>
        </xdr:cNvPr>
        <xdr:cNvSpPr/>
      </xdr:nvSpPr>
      <xdr:spPr>
        <a:xfrm>
          <a:off x="2929491" y="6900087"/>
          <a:ext cx="1910538" cy="609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233975</xdr:colOff>
      <xdr:row>7</xdr:row>
      <xdr:rowOff>166133</xdr:rowOff>
    </xdr:from>
    <xdr:to>
      <xdr:col>9</xdr:col>
      <xdr:colOff>62681</xdr:colOff>
      <xdr:row>15</xdr:row>
      <xdr:rowOff>128865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FBF56F-12C0-4D03-B59C-4D1B1DC6D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404" t="34103" r="14378" b="48845"/>
        <a:stretch/>
      </xdr:blipFill>
      <xdr:spPr>
        <a:xfrm>
          <a:off x="6015650" y="3595133"/>
          <a:ext cx="2876706" cy="1486732"/>
        </a:xfrm>
        <a:prstGeom prst="rect">
          <a:avLst/>
        </a:prstGeom>
      </xdr:spPr>
    </xdr:pic>
    <xdr:clientData/>
  </xdr:twoCellAnchor>
  <xdr:twoCellAnchor>
    <xdr:from>
      <xdr:col>4</xdr:col>
      <xdr:colOff>296383</xdr:colOff>
      <xdr:row>24</xdr:row>
      <xdr:rowOff>10633</xdr:rowOff>
    </xdr:from>
    <xdr:to>
      <xdr:col>9</xdr:col>
      <xdr:colOff>606499</xdr:colOff>
      <xdr:row>32</xdr:row>
      <xdr:rowOff>68227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BA054F9-F711-49DC-8C56-3C17B711D6CE}"/>
            </a:ext>
          </a:extLst>
        </xdr:cNvPr>
        <xdr:cNvSpPr txBox="1"/>
      </xdr:nvSpPr>
      <xdr:spPr>
        <a:xfrm>
          <a:off x="5316058" y="5039833"/>
          <a:ext cx="4120116" cy="1581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Salaire : 23000 * 0,90  = 20700€</a:t>
          </a:r>
        </a:p>
        <a:p>
          <a:endParaRPr lang="fr-FR" sz="1100"/>
        </a:p>
        <a:p>
          <a:r>
            <a:rPr lang="fr-FR" sz="1100"/>
            <a:t>Dividendes (sans PFU)</a:t>
          </a:r>
        </a:p>
        <a:p>
          <a:r>
            <a:rPr lang="fr-FR" sz="1100"/>
            <a:t>21000- (40% * 21000)  =&gt;  12600€</a:t>
          </a:r>
        </a:p>
        <a:p>
          <a:r>
            <a:rPr lang="fr-FR" sz="1100"/>
            <a:t>Une</a:t>
          </a:r>
          <a:r>
            <a:rPr lang="fr-FR" sz="1100" baseline="0"/>
            <a:t> partie de la CSG  (21000 *6,8%)  :  1428</a:t>
          </a:r>
        </a:p>
        <a:p>
          <a:r>
            <a:rPr lang="fr-FR" sz="1100" baseline="0"/>
            <a:t>Déclaration du montant du dividende  :  12600 - 1428  =&gt;  11172€</a:t>
          </a:r>
        </a:p>
        <a:p>
          <a:endParaRPr lang="fr-FR" sz="1100"/>
        </a:p>
        <a:p>
          <a:r>
            <a:rPr lang="fr-FR" sz="1100"/>
            <a:t>REVENU</a:t>
          </a:r>
          <a:r>
            <a:rPr lang="fr-FR" sz="1100" baseline="0"/>
            <a:t> IMPOSABLE  :  20700  + 11172  = 31872</a:t>
          </a:r>
          <a:endParaRPr lang="fr-FR" sz="1100"/>
        </a:p>
      </xdr:txBody>
    </xdr:sp>
    <xdr:clientData/>
  </xdr:twoCellAnchor>
  <xdr:twoCellAnchor>
    <xdr:from>
      <xdr:col>2</xdr:col>
      <xdr:colOff>199360</xdr:colOff>
      <xdr:row>24</xdr:row>
      <xdr:rowOff>121831</xdr:rowOff>
    </xdr:from>
    <xdr:to>
      <xdr:col>3</xdr:col>
      <xdr:colOff>587006</xdr:colOff>
      <xdr:row>24</xdr:row>
      <xdr:rowOff>182747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809C201A-D654-4B37-A02F-DE615D29CD58}"/>
            </a:ext>
          </a:extLst>
        </xdr:cNvPr>
        <xdr:cNvSpPr/>
      </xdr:nvSpPr>
      <xdr:spPr>
        <a:xfrm>
          <a:off x="2933035" y="6979831"/>
          <a:ext cx="1911646" cy="609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193823</xdr:colOff>
      <xdr:row>11</xdr:row>
      <xdr:rowOff>155821</xdr:rowOff>
    </xdr:from>
    <xdr:to>
      <xdr:col>9</xdr:col>
      <xdr:colOff>265814</xdr:colOff>
      <xdr:row>20</xdr:row>
      <xdr:rowOff>32506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FD161E2-239D-4CF0-99A3-C7F3E62B17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404" t="34103" r="14378" b="48845"/>
        <a:stretch/>
      </xdr:blipFill>
      <xdr:spPr>
        <a:xfrm>
          <a:off x="4723736" y="2226955"/>
          <a:ext cx="3128851" cy="1571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8</xdr:row>
      <xdr:rowOff>133350</xdr:rowOff>
    </xdr:from>
    <xdr:to>
      <xdr:col>11</xdr:col>
      <xdr:colOff>131795</xdr:colOff>
      <xdr:row>20</xdr:row>
      <xdr:rowOff>52887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1300671-E6B2-45A3-9D4C-F45093CC9C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404" t="34103" r="14378" b="48845"/>
        <a:stretch/>
      </xdr:blipFill>
      <xdr:spPr>
        <a:xfrm>
          <a:off x="6848475" y="1657350"/>
          <a:ext cx="4332320" cy="2205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33"/>
  <sheetViews>
    <sheetView showGridLines="0" topLeftCell="A9" zoomScale="130" zoomScaleNormal="130" workbookViewId="0">
      <selection activeCell="I33" sqref="I33"/>
    </sheetView>
  </sheetViews>
  <sheetFormatPr baseColWidth="10" defaultColWidth="8.85546875" defaultRowHeight="15" x14ac:dyDescent="0.25"/>
  <cols>
    <col min="2" max="2" width="24.5703125" customWidth="1"/>
    <col min="3" max="3" width="13.140625" bestFit="1" customWidth="1"/>
    <col min="4" max="4" width="22.85546875" bestFit="1" customWidth="1"/>
    <col min="5" max="5" width="13.140625" bestFit="1" customWidth="1"/>
  </cols>
  <sheetData>
    <row r="5" spans="2:5" x14ac:dyDescent="0.25">
      <c r="B5" s="1" t="s">
        <v>11</v>
      </c>
      <c r="C5" s="1"/>
      <c r="D5" s="1" t="s">
        <v>12</v>
      </c>
      <c r="E5" s="1"/>
    </row>
    <row r="6" spans="2:5" x14ac:dyDescent="0.25">
      <c r="B6" s="1" t="s">
        <v>6</v>
      </c>
      <c r="C6" s="11">
        <v>62000</v>
      </c>
      <c r="D6" s="1" t="s">
        <v>8</v>
      </c>
      <c r="E6" s="11">
        <v>170000</v>
      </c>
    </row>
    <row r="7" spans="2:5" x14ac:dyDescent="0.25">
      <c r="B7" s="1" t="s">
        <v>7</v>
      </c>
      <c r="C7" s="11">
        <v>27300</v>
      </c>
      <c r="D7" s="28"/>
      <c r="E7" s="29"/>
    </row>
    <row r="8" spans="2:5" x14ac:dyDescent="0.25">
      <c r="B8" s="1" t="s">
        <v>13</v>
      </c>
      <c r="C8" s="11">
        <v>72200</v>
      </c>
      <c r="D8" s="30"/>
      <c r="E8" s="31"/>
    </row>
    <row r="9" spans="2:5" x14ac:dyDescent="0.25">
      <c r="B9" s="1" t="s">
        <v>9</v>
      </c>
      <c r="C9" s="11">
        <f>SUM(C6:C8)</f>
        <v>161500</v>
      </c>
      <c r="D9" s="1" t="s">
        <v>10</v>
      </c>
      <c r="E9" s="11">
        <f>SUM(E6:E8)</f>
        <v>170000</v>
      </c>
    </row>
    <row r="11" spans="2:5" x14ac:dyDescent="0.25">
      <c r="B11" t="s">
        <v>4</v>
      </c>
      <c r="C11" s="10">
        <f>E9-C9</f>
        <v>8500</v>
      </c>
    </row>
    <row r="12" spans="2:5" x14ac:dyDescent="0.25">
      <c r="B12" s="9" t="s">
        <v>5</v>
      </c>
      <c r="C12" s="14">
        <f>C11+31000+6300</f>
        <v>45800</v>
      </c>
    </row>
    <row r="14" spans="2:5" x14ac:dyDescent="0.25">
      <c r="B14" t="s">
        <v>14</v>
      </c>
    </row>
    <row r="15" spans="2:5" x14ac:dyDescent="0.25">
      <c r="B15" s="1"/>
      <c r="C15" s="3" t="s">
        <v>1</v>
      </c>
      <c r="D15" s="3" t="s">
        <v>2</v>
      </c>
      <c r="E15" s="3" t="s">
        <v>15</v>
      </c>
    </row>
    <row r="16" spans="2:5" x14ac:dyDescent="0.25">
      <c r="B16" s="1" t="s">
        <v>23</v>
      </c>
      <c r="C16" s="4">
        <v>0</v>
      </c>
      <c r="D16" s="11">
        <v>10225</v>
      </c>
      <c r="E16" s="8">
        <f>C16*D16</f>
        <v>0</v>
      </c>
    </row>
    <row r="17" spans="2:5" x14ac:dyDescent="0.25">
      <c r="B17" s="1" t="s">
        <v>24</v>
      </c>
      <c r="C17" s="4">
        <v>0.11</v>
      </c>
      <c r="D17" s="11">
        <f>(26070-10225)</f>
        <v>15845</v>
      </c>
      <c r="E17" s="11">
        <f>C17*D17</f>
        <v>1742.95</v>
      </c>
    </row>
    <row r="18" spans="2:5" x14ac:dyDescent="0.25">
      <c r="B18" s="1" t="s">
        <v>25</v>
      </c>
      <c r="C18" s="4">
        <v>0.3</v>
      </c>
      <c r="D18" s="15">
        <f>45800-26070</f>
        <v>19730</v>
      </c>
      <c r="E18" s="11">
        <f>C18*D18</f>
        <v>5919</v>
      </c>
    </row>
    <row r="19" spans="2:5" x14ac:dyDescent="0.25">
      <c r="B19" s="32" t="s">
        <v>36</v>
      </c>
      <c r="C19" s="32"/>
      <c r="D19" s="32"/>
      <c r="E19" s="16">
        <f>E16+E17+E18</f>
        <v>7661.95</v>
      </c>
    </row>
    <row r="22" spans="2:5" x14ac:dyDescent="0.25">
      <c r="B22" t="s">
        <v>16</v>
      </c>
      <c r="C22" s="12">
        <f>+C12</f>
        <v>45800</v>
      </c>
      <c r="D22" s="6" t="s">
        <v>84</v>
      </c>
    </row>
    <row r="23" spans="2:5" x14ac:dyDescent="0.25">
      <c r="B23" t="s">
        <v>17</v>
      </c>
      <c r="C23" s="10">
        <f>21000*0.9</f>
        <v>18900</v>
      </c>
      <c r="D23" s="6" t="s">
        <v>85</v>
      </c>
    </row>
    <row r="24" spans="2:5" x14ac:dyDescent="0.25">
      <c r="B24" s="9" t="s">
        <v>18</v>
      </c>
      <c r="C24" s="13">
        <f>C22+C23</f>
        <v>64700</v>
      </c>
    </row>
    <row r="26" spans="2:5" x14ac:dyDescent="0.25">
      <c r="B26" t="s">
        <v>19</v>
      </c>
      <c r="C26">
        <v>3</v>
      </c>
      <c r="D26" s="6" t="s">
        <v>86</v>
      </c>
    </row>
    <row r="27" spans="2:5" x14ac:dyDescent="0.25">
      <c r="B27" t="s">
        <v>20</v>
      </c>
      <c r="C27" s="12">
        <f>C24/C26</f>
        <v>21566.666666666668</v>
      </c>
      <c r="D27" s="6" t="s">
        <v>87</v>
      </c>
    </row>
    <row r="29" spans="2:5" x14ac:dyDescent="0.25">
      <c r="B29" s="1"/>
      <c r="C29" s="3" t="s">
        <v>1</v>
      </c>
      <c r="D29" s="3" t="s">
        <v>2</v>
      </c>
      <c r="E29" s="3" t="s">
        <v>15</v>
      </c>
    </row>
    <row r="30" spans="2:5" x14ac:dyDescent="0.25">
      <c r="B30" s="1" t="s">
        <v>23</v>
      </c>
      <c r="C30" s="4">
        <v>0</v>
      </c>
      <c r="D30" s="11">
        <v>10225</v>
      </c>
      <c r="E30" s="8">
        <f>C30*D30</f>
        <v>0</v>
      </c>
    </row>
    <row r="31" spans="2:5" x14ac:dyDescent="0.25">
      <c r="B31" s="1" t="s">
        <v>24</v>
      </c>
      <c r="C31" s="4">
        <v>0.11</v>
      </c>
      <c r="D31" s="11">
        <f>21567-10225</f>
        <v>11342</v>
      </c>
      <c r="E31" s="11">
        <f>C31*D31</f>
        <v>1247.6200000000001</v>
      </c>
    </row>
    <row r="32" spans="2:5" x14ac:dyDescent="0.25">
      <c r="B32" s="32" t="s">
        <v>21</v>
      </c>
      <c r="C32" s="32"/>
      <c r="D32" s="32"/>
      <c r="E32" s="16">
        <f>E31</f>
        <v>1247.6200000000001</v>
      </c>
    </row>
    <row r="33" spans="2:6" x14ac:dyDescent="0.25">
      <c r="B33" s="32" t="s">
        <v>22</v>
      </c>
      <c r="C33" s="32"/>
      <c r="D33" s="32"/>
      <c r="E33" s="16">
        <f>E32*3</f>
        <v>3742.8600000000006</v>
      </c>
      <c r="F33" t="s">
        <v>88</v>
      </c>
    </row>
  </sheetData>
  <mergeCells count="4">
    <mergeCell ref="D7:E8"/>
    <mergeCell ref="B19:D19"/>
    <mergeCell ref="B32:D32"/>
    <mergeCell ref="B33:D3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AB80-380B-4C7C-BBA2-6B00EE3F6B4A}">
  <dimension ref="A3:D48"/>
  <sheetViews>
    <sheetView showGridLines="0" zoomScale="130" zoomScaleNormal="130" workbookViewId="0">
      <selection activeCell="A21" sqref="A1:XFD1048576"/>
    </sheetView>
  </sheetViews>
  <sheetFormatPr baseColWidth="10" defaultRowHeight="15" x14ac:dyDescent="0.25"/>
  <cols>
    <col min="1" max="1" width="26.42578125" customWidth="1"/>
    <col min="2" max="2" width="14.5703125" bestFit="1" customWidth="1"/>
    <col min="3" max="3" width="22.85546875" bestFit="1" customWidth="1"/>
  </cols>
  <sheetData>
    <row r="3" spans="1:4" x14ac:dyDescent="0.25">
      <c r="A3" s="1" t="s">
        <v>11</v>
      </c>
      <c r="B3" s="1"/>
      <c r="C3" s="1" t="s">
        <v>12</v>
      </c>
      <c r="D3" s="1"/>
    </row>
    <row r="4" spans="1:4" x14ac:dyDescent="0.25">
      <c r="A4" s="1" t="s">
        <v>6</v>
      </c>
      <c r="B4" s="11">
        <v>216000</v>
      </c>
      <c r="C4" s="1" t="s">
        <v>8</v>
      </c>
      <c r="D4" s="11">
        <v>500000</v>
      </c>
    </row>
    <row r="5" spans="1:4" x14ac:dyDescent="0.25">
      <c r="A5" s="1" t="s">
        <v>7</v>
      </c>
      <c r="B5" s="11">
        <v>83200</v>
      </c>
      <c r="C5" s="28"/>
      <c r="D5" s="29"/>
    </row>
    <row r="6" spans="1:4" x14ac:dyDescent="0.25">
      <c r="A6" s="1" t="s">
        <v>13</v>
      </c>
      <c r="B6" s="11">
        <v>146000</v>
      </c>
      <c r="C6" s="30"/>
      <c r="D6" s="31"/>
    </row>
    <row r="7" spans="1:4" x14ac:dyDescent="0.25">
      <c r="A7" s="1" t="s">
        <v>9</v>
      </c>
      <c r="B7" s="11">
        <f>SUM(B4:B6)</f>
        <v>445200</v>
      </c>
      <c r="C7" s="1" t="s">
        <v>10</v>
      </c>
      <c r="D7" s="11">
        <f>SUM(D4:D6)</f>
        <v>500000</v>
      </c>
    </row>
    <row r="9" spans="1:4" x14ac:dyDescent="0.25">
      <c r="A9" t="s">
        <v>4</v>
      </c>
      <c r="B9" s="12">
        <f>D7-B7</f>
        <v>54800</v>
      </c>
    </row>
    <row r="10" spans="1:4" x14ac:dyDescent="0.25">
      <c r="A10" t="s">
        <v>0</v>
      </c>
      <c r="B10" s="12">
        <f>B9+12000</f>
        <v>66800</v>
      </c>
      <c r="C10" t="s">
        <v>89</v>
      </c>
    </row>
    <row r="12" spans="1:4" x14ac:dyDescent="0.25">
      <c r="A12" t="s">
        <v>26</v>
      </c>
      <c r="B12" s="13">
        <f>B10*0.265</f>
        <v>17702</v>
      </c>
      <c r="C12" t="s">
        <v>90</v>
      </c>
    </row>
    <row r="13" spans="1:4" x14ac:dyDescent="0.25">
      <c r="B13" s="12"/>
    </row>
    <row r="15" spans="1:4" x14ac:dyDescent="0.25">
      <c r="A15" t="s">
        <v>27</v>
      </c>
      <c r="B15" s="24">
        <f>35000*0.2</f>
        <v>7000</v>
      </c>
      <c r="C15" t="s">
        <v>91</v>
      </c>
    </row>
    <row r="16" spans="1:4" x14ac:dyDescent="0.25">
      <c r="B16" s="10"/>
    </row>
    <row r="17" spans="1:4" x14ac:dyDescent="0.25">
      <c r="A17" t="s">
        <v>28</v>
      </c>
      <c r="B17" s="37">
        <f>+B15*0.3</f>
        <v>2100</v>
      </c>
      <c r="C17" t="s">
        <v>93</v>
      </c>
    </row>
    <row r="18" spans="1:4" x14ac:dyDescent="0.25">
      <c r="A18" s="17" t="s">
        <v>92</v>
      </c>
      <c r="B18" s="36">
        <f>B15*0.172</f>
        <v>1204</v>
      </c>
    </row>
    <row r="19" spans="1:4" x14ac:dyDescent="0.25">
      <c r="A19" s="17" t="s">
        <v>29</v>
      </c>
      <c r="B19" s="36">
        <f>B15*0.128</f>
        <v>896</v>
      </c>
    </row>
    <row r="21" spans="1:4" x14ac:dyDescent="0.25">
      <c r="A21" t="s">
        <v>30</v>
      </c>
    </row>
    <row r="22" spans="1:4" x14ac:dyDescent="0.25">
      <c r="A22" t="s">
        <v>31</v>
      </c>
      <c r="B22" s="10">
        <f>31000*0.9</f>
        <v>27900</v>
      </c>
      <c r="C22" s="6" t="s">
        <v>94</v>
      </c>
    </row>
    <row r="24" spans="1:4" x14ac:dyDescent="0.25">
      <c r="A24" t="s">
        <v>14</v>
      </c>
    </row>
    <row r="25" spans="1:4" x14ac:dyDescent="0.25">
      <c r="A25" s="1"/>
      <c r="B25" s="3" t="s">
        <v>1</v>
      </c>
      <c r="C25" s="3" t="s">
        <v>2</v>
      </c>
      <c r="D25" s="3" t="s">
        <v>15</v>
      </c>
    </row>
    <row r="26" spans="1:4" x14ac:dyDescent="0.25">
      <c r="A26" s="1" t="s">
        <v>23</v>
      </c>
      <c r="B26" s="4">
        <v>0</v>
      </c>
      <c r="C26" s="11">
        <v>10225</v>
      </c>
      <c r="D26" s="8">
        <f>B26*C26</f>
        <v>0</v>
      </c>
    </row>
    <row r="27" spans="1:4" x14ac:dyDescent="0.25">
      <c r="A27" s="1" t="s">
        <v>24</v>
      </c>
      <c r="B27" s="4">
        <v>0.11</v>
      </c>
      <c r="C27" s="11">
        <f>(26070-10225)</f>
        <v>15845</v>
      </c>
      <c r="D27" s="11">
        <f>B27*C27</f>
        <v>1742.95</v>
      </c>
    </row>
    <row r="28" spans="1:4" x14ac:dyDescent="0.25">
      <c r="A28" s="1" t="s">
        <v>25</v>
      </c>
      <c r="B28" s="4">
        <v>0.3</v>
      </c>
      <c r="C28" s="15">
        <f>B22-26070</f>
        <v>1830</v>
      </c>
      <c r="D28" s="11">
        <f>B28*C28</f>
        <v>549</v>
      </c>
    </row>
    <row r="29" spans="1:4" x14ac:dyDescent="0.25">
      <c r="A29" s="32" t="s">
        <v>32</v>
      </c>
      <c r="B29" s="32"/>
      <c r="C29" s="32"/>
      <c r="D29" s="38">
        <f>D26+D27+D28</f>
        <v>2291.9499999999998</v>
      </c>
    </row>
    <row r="31" spans="1:4" x14ac:dyDescent="0.25">
      <c r="A31" s="18" t="s">
        <v>33</v>
      </c>
      <c r="B31" s="19">
        <f>B17+D29</f>
        <v>4391.95</v>
      </c>
      <c r="C31" t="s">
        <v>95</v>
      </c>
    </row>
    <row r="34" spans="1:4" x14ac:dyDescent="0.25">
      <c r="A34" t="s">
        <v>34</v>
      </c>
    </row>
    <row r="36" spans="1:4" x14ac:dyDescent="0.25">
      <c r="A36" t="s">
        <v>30</v>
      </c>
    </row>
    <row r="37" spans="1:4" x14ac:dyDescent="0.25">
      <c r="A37" t="s">
        <v>96</v>
      </c>
      <c r="B37" s="10">
        <f>31000*0.9+(7000*0.6-(7000*0.068))</f>
        <v>31624</v>
      </c>
    </row>
    <row r="39" spans="1:4" x14ac:dyDescent="0.25">
      <c r="A39" t="s">
        <v>14</v>
      </c>
    </row>
    <row r="40" spans="1:4" x14ac:dyDescent="0.25">
      <c r="A40" s="1"/>
      <c r="B40" s="3" t="s">
        <v>1</v>
      </c>
      <c r="C40" s="3" t="s">
        <v>2</v>
      </c>
      <c r="D40" s="3" t="s">
        <v>15</v>
      </c>
    </row>
    <row r="41" spans="1:4" x14ac:dyDescent="0.25">
      <c r="A41" s="1" t="s">
        <v>23</v>
      </c>
      <c r="B41" s="4">
        <v>0</v>
      </c>
      <c r="C41" s="11">
        <v>10225</v>
      </c>
      <c r="D41" s="8">
        <f>B41*C41</f>
        <v>0</v>
      </c>
    </row>
    <row r="42" spans="1:4" x14ac:dyDescent="0.25">
      <c r="A42" s="1" t="s">
        <v>24</v>
      </c>
      <c r="B42" s="4">
        <v>0.11</v>
      </c>
      <c r="C42" s="11">
        <f>(26070-10225)</f>
        <v>15845</v>
      </c>
      <c r="D42" s="11">
        <f>B42*C42</f>
        <v>1742.95</v>
      </c>
    </row>
    <row r="43" spans="1:4" x14ac:dyDescent="0.25">
      <c r="A43" s="1" t="s">
        <v>25</v>
      </c>
      <c r="B43" s="4">
        <v>0.3</v>
      </c>
      <c r="C43" s="15">
        <f>B37-26070</f>
        <v>5554</v>
      </c>
      <c r="D43" s="11">
        <f>B43*C43</f>
        <v>1666.2</v>
      </c>
    </row>
    <row r="44" spans="1:4" x14ac:dyDescent="0.25">
      <c r="A44" s="32" t="s">
        <v>32</v>
      </c>
      <c r="B44" s="32"/>
      <c r="C44" s="32"/>
      <c r="D44" s="39">
        <f>D41+D42+D43</f>
        <v>3409.15</v>
      </c>
    </row>
    <row r="46" spans="1:4" x14ac:dyDescent="0.25">
      <c r="A46" t="s">
        <v>98</v>
      </c>
      <c r="B46" s="40">
        <f>7000*0.172</f>
        <v>1204</v>
      </c>
      <c r="C46" s="6" t="s">
        <v>97</v>
      </c>
    </row>
    <row r="48" spans="1:4" x14ac:dyDescent="0.25">
      <c r="A48" s="18" t="s">
        <v>35</v>
      </c>
      <c r="B48" s="41">
        <f>B46+D44</f>
        <v>4613.1499999999996</v>
      </c>
    </row>
  </sheetData>
  <mergeCells count="3">
    <mergeCell ref="C5:D6"/>
    <mergeCell ref="A29:C29"/>
    <mergeCell ref="A44:C4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ABFE-9F4C-47A0-A103-A8E8ECAC3AEF}">
  <dimension ref="A1:D36"/>
  <sheetViews>
    <sheetView showGridLines="0" topLeftCell="A23" zoomScale="160" zoomScaleNormal="160" workbookViewId="0">
      <selection activeCell="D30" sqref="D30"/>
    </sheetView>
  </sheetViews>
  <sheetFormatPr baseColWidth="10" defaultRowHeight="15" x14ac:dyDescent="0.25"/>
  <cols>
    <col min="1" max="1" width="26.42578125" customWidth="1"/>
    <col min="2" max="2" width="14.5703125" bestFit="1" customWidth="1"/>
    <col min="3" max="3" width="22.85546875" bestFit="1" customWidth="1"/>
  </cols>
  <sheetData>
    <row r="1" spans="1:4" x14ac:dyDescent="0.25">
      <c r="A1" t="s">
        <v>99</v>
      </c>
      <c r="B1" s="24">
        <v>21000</v>
      </c>
    </row>
    <row r="2" spans="1:4" x14ac:dyDescent="0.25">
      <c r="B2" s="24"/>
    </row>
    <row r="3" spans="1:4" ht="21" x14ac:dyDescent="0.35">
      <c r="A3" s="42" t="s">
        <v>101</v>
      </c>
      <c r="B3" s="42"/>
      <c r="C3" s="42"/>
      <c r="D3" s="42"/>
    </row>
    <row r="4" spans="1:4" x14ac:dyDescent="0.25">
      <c r="B4" s="24"/>
    </row>
    <row r="5" spans="1:4" x14ac:dyDescent="0.25">
      <c r="B5" s="10"/>
    </row>
    <row r="6" spans="1:4" x14ac:dyDescent="0.25">
      <c r="A6" t="s">
        <v>28</v>
      </c>
      <c r="B6" s="37">
        <f>+B1*0.3</f>
        <v>6300</v>
      </c>
      <c r="C6" t="s">
        <v>105</v>
      </c>
    </row>
    <row r="7" spans="1:4" x14ac:dyDescent="0.25">
      <c r="A7" s="17" t="s">
        <v>92</v>
      </c>
      <c r="B7" s="36">
        <f>B1*0.172</f>
        <v>3611.9999999999995</v>
      </c>
    </row>
    <row r="8" spans="1:4" x14ac:dyDescent="0.25">
      <c r="A8" s="17" t="s">
        <v>29</v>
      </c>
      <c r="B8" s="36">
        <f>B1*0.128</f>
        <v>2688</v>
      </c>
    </row>
    <row r="10" spans="1:4" x14ac:dyDescent="0.25">
      <c r="A10" t="s">
        <v>30</v>
      </c>
    </row>
    <row r="11" spans="1:4" x14ac:dyDescent="0.25">
      <c r="A11" t="s">
        <v>31</v>
      </c>
      <c r="B11" s="10">
        <f>23000*0.9</f>
        <v>20700</v>
      </c>
      <c r="C11" s="6" t="s">
        <v>94</v>
      </c>
    </row>
    <row r="13" spans="1:4" x14ac:dyDescent="0.25">
      <c r="A13" t="s">
        <v>14</v>
      </c>
    </row>
    <row r="14" spans="1:4" x14ac:dyDescent="0.25">
      <c r="A14" s="1"/>
      <c r="B14" s="3" t="s">
        <v>1</v>
      </c>
      <c r="C14" s="3" t="s">
        <v>2</v>
      </c>
      <c r="D14" s="3" t="s">
        <v>15</v>
      </c>
    </row>
    <row r="15" spans="1:4" x14ac:dyDescent="0.25">
      <c r="A15" s="1" t="s">
        <v>23</v>
      </c>
      <c r="B15" s="4">
        <v>0</v>
      </c>
      <c r="C15" s="11">
        <v>10225</v>
      </c>
      <c r="D15" s="8">
        <f>B15*C15</f>
        <v>0</v>
      </c>
    </row>
    <row r="16" spans="1:4" x14ac:dyDescent="0.25">
      <c r="A16" s="1" t="s">
        <v>24</v>
      </c>
      <c r="B16" s="4">
        <v>0.11</v>
      </c>
      <c r="C16" s="11">
        <f>(B11-10225)</f>
        <v>10475</v>
      </c>
      <c r="D16" s="11">
        <f>B16*C16</f>
        <v>1152.25</v>
      </c>
    </row>
    <row r="17" spans="1:4" x14ac:dyDescent="0.25">
      <c r="A17" s="32" t="s">
        <v>103</v>
      </c>
      <c r="B17" s="32"/>
      <c r="C17" s="32"/>
      <c r="D17" s="38">
        <f>D15+D16</f>
        <v>1152.25</v>
      </c>
    </row>
    <row r="19" spans="1:4" x14ac:dyDescent="0.25">
      <c r="A19" s="18" t="s">
        <v>33</v>
      </c>
      <c r="B19" s="19">
        <f>B6+D17</f>
        <v>7452.25</v>
      </c>
      <c r="C19" t="s">
        <v>106</v>
      </c>
    </row>
    <row r="22" spans="1:4" ht="21" x14ac:dyDescent="0.35">
      <c r="A22" s="42" t="s">
        <v>102</v>
      </c>
      <c r="B22" s="42"/>
      <c r="C22" s="42"/>
      <c r="D22" s="42"/>
    </row>
    <row r="24" spans="1:4" x14ac:dyDescent="0.25">
      <c r="A24" t="s">
        <v>30</v>
      </c>
    </row>
    <row r="25" spans="1:4" x14ac:dyDescent="0.25">
      <c r="A25" t="s">
        <v>96</v>
      </c>
      <c r="B25" s="10">
        <f>23000*0.9+(21000*0.6-(21000*0.068))</f>
        <v>31872</v>
      </c>
    </row>
    <row r="27" spans="1:4" x14ac:dyDescent="0.25">
      <c r="A27" t="s">
        <v>14</v>
      </c>
    </row>
    <row r="28" spans="1:4" x14ac:dyDescent="0.25">
      <c r="A28" s="1"/>
      <c r="B28" s="3" t="s">
        <v>1</v>
      </c>
      <c r="C28" s="3" t="s">
        <v>2</v>
      </c>
      <c r="D28" s="3" t="s">
        <v>15</v>
      </c>
    </row>
    <row r="29" spans="1:4" x14ac:dyDescent="0.25">
      <c r="A29" s="1" t="s">
        <v>23</v>
      </c>
      <c r="B29" s="4">
        <v>0</v>
      </c>
      <c r="C29" s="11">
        <v>10225</v>
      </c>
      <c r="D29" s="8">
        <f>B29*C29</f>
        <v>0</v>
      </c>
    </row>
    <row r="30" spans="1:4" x14ac:dyDescent="0.25">
      <c r="A30" s="1" t="s">
        <v>24</v>
      </c>
      <c r="B30" s="4">
        <v>0.11</v>
      </c>
      <c r="C30" s="11">
        <f>(26070-10225)</f>
        <v>15845</v>
      </c>
      <c r="D30" s="11">
        <f>B30*C30</f>
        <v>1742.95</v>
      </c>
    </row>
    <row r="31" spans="1:4" x14ac:dyDescent="0.25">
      <c r="A31" s="1" t="s">
        <v>25</v>
      </c>
      <c r="B31" s="4">
        <v>0.3</v>
      </c>
      <c r="C31" s="15">
        <f>B25-26070</f>
        <v>5802</v>
      </c>
      <c r="D31" s="11">
        <f>B31*C31</f>
        <v>1740.6</v>
      </c>
    </row>
    <row r="32" spans="1:4" x14ac:dyDescent="0.25">
      <c r="A32" s="32" t="s">
        <v>103</v>
      </c>
      <c r="B32" s="32"/>
      <c r="C32" s="32"/>
      <c r="D32" s="39">
        <f>D29+D30+D31</f>
        <v>3483.55</v>
      </c>
    </row>
    <row r="34" spans="1:3" x14ac:dyDescent="0.25">
      <c r="A34" t="s">
        <v>98</v>
      </c>
      <c r="B34" s="40">
        <f>21000*0.172</f>
        <v>3611.9999999999995</v>
      </c>
      <c r="C34" s="6" t="s">
        <v>100</v>
      </c>
    </row>
    <row r="36" spans="1:3" x14ac:dyDescent="0.25">
      <c r="A36" s="18" t="s">
        <v>35</v>
      </c>
      <c r="B36" s="41">
        <f>B34+D32</f>
        <v>7095.5499999999993</v>
      </c>
      <c r="C36" t="s">
        <v>104</v>
      </c>
    </row>
  </sheetData>
  <mergeCells count="4">
    <mergeCell ref="A17:C17"/>
    <mergeCell ref="A32:C32"/>
    <mergeCell ref="A3:D3"/>
    <mergeCell ref="A22:D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1A93D-3B68-4A3D-AAA4-ED15854D9A90}">
  <dimension ref="A3:D11"/>
  <sheetViews>
    <sheetView showGridLines="0" zoomScale="196" zoomScaleNormal="196" workbookViewId="0">
      <selection activeCell="H10" sqref="H10"/>
    </sheetView>
  </sheetViews>
  <sheetFormatPr baseColWidth="10" defaultRowHeight="15" x14ac:dyDescent="0.25"/>
  <cols>
    <col min="1" max="1" width="34.85546875" customWidth="1"/>
    <col min="2" max="2" width="11.85546875" bestFit="1" customWidth="1"/>
    <col min="4" max="4" width="11.85546875" bestFit="1" customWidth="1"/>
  </cols>
  <sheetData>
    <row r="3" spans="1:4" x14ac:dyDescent="0.25">
      <c r="A3" t="s">
        <v>37</v>
      </c>
    </row>
    <row r="4" spans="1:4" x14ac:dyDescent="0.25">
      <c r="A4" t="s">
        <v>38</v>
      </c>
    </row>
    <row r="5" spans="1:4" x14ac:dyDescent="0.25">
      <c r="A5" t="s">
        <v>39</v>
      </c>
    </row>
    <row r="7" spans="1:4" x14ac:dyDescent="0.25">
      <c r="A7" s="7" t="s">
        <v>0</v>
      </c>
      <c r="B7" s="22">
        <f>+'BART Exo2'!B10</f>
        <v>66800</v>
      </c>
    </row>
    <row r="9" spans="1:4" x14ac:dyDescent="0.25">
      <c r="A9" s="1" t="s">
        <v>40</v>
      </c>
      <c r="B9" s="11">
        <v>38120</v>
      </c>
      <c r="C9" s="4">
        <v>0.15</v>
      </c>
      <c r="D9" s="11">
        <f>B9*C9</f>
        <v>5718</v>
      </c>
    </row>
    <row r="10" spans="1:4" x14ac:dyDescent="0.25">
      <c r="A10" s="1" t="s">
        <v>41</v>
      </c>
      <c r="B10" s="11">
        <f>B7-B9</f>
        <v>28680</v>
      </c>
      <c r="C10" s="5">
        <v>0.26500000000000001</v>
      </c>
      <c r="D10" s="11">
        <f>B10*C10</f>
        <v>7600.2000000000007</v>
      </c>
    </row>
    <row r="11" spans="1:4" x14ac:dyDescent="0.25">
      <c r="A11" s="33" t="s">
        <v>3</v>
      </c>
      <c r="B11" s="33"/>
      <c r="C11" s="33"/>
      <c r="D11" s="23">
        <f>D9+D10</f>
        <v>13318.2</v>
      </c>
    </row>
  </sheetData>
  <mergeCells count="1">
    <mergeCell ref="A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B0C92-16BB-4AD3-A30A-741196DCA14A}">
  <dimension ref="A4:G24"/>
  <sheetViews>
    <sheetView showGridLines="0" tabSelected="1" topLeftCell="A5" zoomScale="172" zoomScaleNormal="172" workbookViewId="0">
      <selection activeCell="A14" sqref="A14:B14"/>
    </sheetView>
  </sheetViews>
  <sheetFormatPr baseColWidth="10" defaultRowHeight="15" x14ac:dyDescent="0.25"/>
  <cols>
    <col min="1" max="1" width="21.7109375" customWidth="1"/>
    <col min="3" max="3" width="11.85546875" bestFit="1" customWidth="1"/>
  </cols>
  <sheetData>
    <row r="4" spans="1:4" x14ac:dyDescent="0.25">
      <c r="A4" t="s">
        <v>107</v>
      </c>
    </row>
    <row r="6" spans="1:4" x14ac:dyDescent="0.25">
      <c r="A6" t="s">
        <v>42</v>
      </c>
    </row>
    <row r="8" spans="1:4" x14ac:dyDescent="0.25">
      <c r="A8" t="s">
        <v>43</v>
      </c>
      <c r="D8" s="10">
        <f>33000*0.3</f>
        <v>9900</v>
      </c>
    </row>
    <row r="10" spans="1:4" x14ac:dyDescent="0.25">
      <c r="A10" s="43" t="s">
        <v>44</v>
      </c>
      <c r="B10" s="43"/>
    </row>
    <row r="12" spans="1:4" x14ac:dyDescent="0.25">
      <c r="A12" t="s">
        <v>45</v>
      </c>
      <c r="B12" s="10">
        <f>25000*0.9</f>
        <v>22500</v>
      </c>
      <c r="C12" s="44" t="s">
        <v>108</v>
      </c>
    </row>
    <row r="13" spans="1:4" x14ac:dyDescent="0.25">
      <c r="A13" t="s">
        <v>46</v>
      </c>
      <c r="B13" s="10">
        <f>D8</f>
        <v>9900</v>
      </c>
    </row>
    <row r="14" spans="1:4" x14ac:dyDescent="0.25">
      <c r="A14" t="s">
        <v>47</v>
      </c>
      <c r="B14" s="10">
        <f>B12+B13</f>
        <v>32400</v>
      </c>
    </row>
    <row r="17" spans="1:7" x14ac:dyDescent="0.25">
      <c r="A17" s="1"/>
      <c r="B17" s="3" t="s">
        <v>1</v>
      </c>
      <c r="C17" s="3" t="s">
        <v>2</v>
      </c>
      <c r="D17" s="3" t="s">
        <v>15</v>
      </c>
    </row>
    <row r="18" spans="1:7" x14ac:dyDescent="0.25">
      <c r="A18" s="1" t="s">
        <v>23</v>
      </c>
      <c r="B18" s="4">
        <v>0</v>
      </c>
      <c r="C18" s="11">
        <v>10225</v>
      </c>
      <c r="D18" s="8">
        <f>B18*C18</f>
        <v>0</v>
      </c>
    </row>
    <row r="19" spans="1:7" x14ac:dyDescent="0.25">
      <c r="A19" s="1" t="s">
        <v>24</v>
      </c>
      <c r="B19" s="4">
        <v>0.11</v>
      </c>
      <c r="C19" s="11">
        <f>(26070-10225)</f>
        <v>15845</v>
      </c>
      <c r="D19" s="11">
        <f>B19*C19</f>
        <v>1742.95</v>
      </c>
    </row>
    <row r="20" spans="1:7" x14ac:dyDescent="0.25">
      <c r="A20" s="1" t="s">
        <v>25</v>
      </c>
      <c r="B20" s="4">
        <v>0.3</v>
      </c>
      <c r="C20" s="15">
        <f>B14-26070</f>
        <v>6330</v>
      </c>
      <c r="D20" s="11">
        <f>B20*C20</f>
        <v>1899</v>
      </c>
    </row>
    <row r="21" spans="1:7" x14ac:dyDescent="0.25">
      <c r="A21" s="32" t="s">
        <v>48</v>
      </c>
      <c r="B21" s="32"/>
      <c r="C21" s="32"/>
      <c r="D21" s="16">
        <f>D18+D19+D20</f>
        <v>3641.95</v>
      </c>
    </row>
    <row r="24" spans="1:7" ht="36" customHeight="1" x14ac:dyDescent="0.25">
      <c r="A24" s="34" t="s">
        <v>49</v>
      </c>
      <c r="B24" s="34"/>
      <c r="C24" s="34"/>
      <c r="D24" s="34"/>
      <c r="E24" s="34"/>
      <c r="F24" s="34"/>
      <c r="G24" s="34"/>
    </row>
  </sheetData>
  <mergeCells count="2">
    <mergeCell ref="A21:C21"/>
    <mergeCell ref="A24:G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21C8-92F0-4068-B8BB-1B07A9440886}">
  <dimension ref="A3:D20"/>
  <sheetViews>
    <sheetView showGridLines="0" workbookViewId="0">
      <selection activeCell="A7" sqref="A7:B7"/>
    </sheetView>
  </sheetViews>
  <sheetFormatPr baseColWidth="10" defaultRowHeight="15" x14ac:dyDescent="0.25"/>
  <cols>
    <col min="1" max="1" width="44" customWidth="1"/>
    <col min="2" max="2" width="11.85546875" bestFit="1" customWidth="1"/>
    <col min="3" max="3" width="18.42578125" customWidth="1"/>
  </cols>
  <sheetData>
    <row r="3" spans="1:4" x14ac:dyDescent="0.25">
      <c r="A3" t="s">
        <v>50</v>
      </c>
      <c r="B3" s="10">
        <v>8000</v>
      </c>
    </row>
    <row r="4" spans="1:4" x14ac:dyDescent="0.25">
      <c r="B4" s="10"/>
    </row>
    <row r="5" spans="1:4" x14ac:dyDescent="0.25">
      <c r="A5" t="s">
        <v>51</v>
      </c>
      <c r="B5" s="10">
        <f>0.7*B3</f>
        <v>5600</v>
      </c>
    </row>
    <row r="6" spans="1:4" x14ac:dyDescent="0.25">
      <c r="B6" s="10"/>
    </row>
    <row r="7" spans="1:4" x14ac:dyDescent="0.25">
      <c r="A7" s="35" t="s">
        <v>52</v>
      </c>
      <c r="B7" s="35"/>
    </row>
    <row r="8" spans="1:4" x14ac:dyDescent="0.25">
      <c r="A8" t="s">
        <v>53</v>
      </c>
      <c r="B8" s="10">
        <f>28000*0.9</f>
        <v>25200</v>
      </c>
    </row>
    <row r="9" spans="1:4" x14ac:dyDescent="0.25">
      <c r="A9" t="s">
        <v>54</v>
      </c>
      <c r="B9" s="10">
        <f>24000*0.9</f>
        <v>21600</v>
      </c>
    </row>
    <row r="10" spans="1:4" x14ac:dyDescent="0.25">
      <c r="A10" t="s">
        <v>55</v>
      </c>
      <c r="B10" s="10">
        <f>-B5</f>
        <v>-5600</v>
      </c>
    </row>
    <row r="11" spans="1:4" x14ac:dyDescent="0.25">
      <c r="A11" s="2" t="s">
        <v>56</v>
      </c>
      <c r="B11" s="24">
        <f>SUM(B8:B10)</f>
        <v>41200</v>
      </c>
    </row>
    <row r="13" spans="1:4" x14ac:dyDescent="0.25">
      <c r="A13" t="s">
        <v>57</v>
      </c>
      <c r="B13">
        <v>3</v>
      </c>
    </row>
    <row r="14" spans="1:4" x14ac:dyDescent="0.25">
      <c r="A14" t="s">
        <v>20</v>
      </c>
      <c r="B14" s="12">
        <f>B11/B13</f>
        <v>13733.333333333334</v>
      </c>
    </row>
    <row r="16" spans="1:4" x14ac:dyDescent="0.25">
      <c r="A16" s="1"/>
      <c r="B16" s="3" t="s">
        <v>1</v>
      </c>
      <c r="C16" s="3" t="s">
        <v>2</v>
      </c>
      <c r="D16" s="3" t="s">
        <v>15</v>
      </c>
    </row>
    <row r="17" spans="1:4" x14ac:dyDescent="0.25">
      <c r="A17" s="1" t="s">
        <v>23</v>
      </c>
      <c r="B17" s="4">
        <v>0</v>
      </c>
      <c r="C17" s="11">
        <v>10225</v>
      </c>
      <c r="D17" s="8">
        <f>B17*C17</f>
        <v>0</v>
      </c>
    </row>
    <row r="18" spans="1:4" x14ac:dyDescent="0.25">
      <c r="A18" s="1" t="s">
        <v>24</v>
      </c>
      <c r="B18" s="4">
        <v>0.11</v>
      </c>
      <c r="C18" s="11">
        <f>B14-10225</f>
        <v>3508.3333333333339</v>
      </c>
      <c r="D18" s="11">
        <f>B18*C18</f>
        <v>385.91666666666674</v>
      </c>
    </row>
    <row r="19" spans="1:4" x14ac:dyDescent="0.25">
      <c r="A19" s="32" t="s">
        <v>21</v>
      </c>
      <c r="B19" s="32"/>
      <c r="C19" s="32"/>
      <c r="D19" s="16">
        <f>D18</f>
        <v>385.91666666666674</v>
      </c>
    </row>
    <row r="20" spans="1:4" x14ac:dyDescent="0.25">
      <c r="A20" s="32" t="s">
        <v>22</v>
      </c>
      <c r="B20" s="32"/>
      <c r="C20" s="32"/>
      <c r="D20" s="16">
        <f>D19*3</f>
        <v>1157.7500000000002</v>
      </c>
    </row>
  </sheetData>
  <mergeCells count="3">
    <mergeCell ref="A19:C19"/>
    <mergeCell ref="A20:C20"/>
    <mergeCell ref="A7:B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C152-B72B-4A89-B358-9B2017C883C8}">
  <dimension ref="A3:D34"/>
  <sheetViews>
    <sheetView workbookViewId="0">
      <selection activeCell="F20" sqref="F20"/>
    </sheetView>
  </sheetViews>
  <sheetFormatPr baseColWidth="10" defaultRowHeight="15" x14ac:dyDescent="0.25"/>
  <cols>
    <col min="1" max="1" width="48.7109375" bestFit="1" customWidth="1"/>
    <col min="2" max="2" width="11.85546875" bestFit="1" customWidth="1"/>
  </cols>
  <sheetData>
    <row r="3" spans="1:4" x14ac:dyDescent="0.25">
      <c r="A3" t="s">
        <v>58</v>
      </c>
    </row>
    <row r="5" spans="1:4" x14ac:dyDescent="0.25">
      <c r="A5" t="s">
        <v>59</v>
      </c>
      <c r="B5" s="10">
        <v>35000</v>
      </c>
      <c r="C5" s="21">
        <v>0.26500000000000001</v>
      </c>
      <c r="D5" s="24">
        <f>B5*C5</f>
        <v>9275</v>
      </c>
    </row>
    <row r="7" spans="1:4" x14ac:dyDescent="0.25">
      <c r="A7" t="s">
        <v>60</v>
      </c>
    </row>
    <row r="9" spans="1:4" x14ac:dyDescent="0.25">
      <c r="A9" t="s">
        <v>61</v>
      </c>
      <c r="B9">
        <f>23000*0.9</f>
        <v>20700</v>
      </c>
    </row>
    <row r="11" spans="1:4" x14ac:dyDescent="0.25">
      <c r="A11" s="1"/>
      <c r="B11" s="3" t="s">
        <v>1</v>
      </c>
      <c r="C11" s="3" t="s">
        <v>2</v>
      </c>
      <c r="D11" s="3" t="s">
        <v>15</v>
      </c>
    </row>
    <row r="12" spans="1:4" x14ac:dyDescent="0.25">
      <c r="A12" s="1" t="s">
        <v>23</v>
      </c>
      <c r="B12" s="4">
        <v>0</v>
      </c>
      <c r="C12" s="11">
        <v>10225</v>
      </c>
      <c r="D12" s="8">
        <f>B12*C12</f>
        <v>0</v>
      </c>
    </row>
    <row r="13" spans="1:4" x14ac:dyDescent="0.25">
      <c r="A13" s="1" t="s">
        <v>24</v>
      </c>
      <c r="B13" s="4">
        <v>0.11</v>
      </c>
      <c r="C13" s="11">
        <f>B9-10225</f>
        <v>10475</v>
      </c>
      <c r="D13" s="11">
        <f>B13*C13</f>
        <v>1152.25</v>
      </c>
    </row>
    <row r="14" spans="1:4" x14ac:dyDescent="0.25">
      <c r="A14" s="32" t="s">
        <v>62</v>
      </c>
      <c r="B14" s="32"/>
      <c r="C14" s="32"/>
      <c r="D14" s="23">
        <f>D12+D13</f>
        <v>1152.25</v>
      </c>
    </row>
    <row r="16" spans="1:4" x14ac:dyDescent="0.25">
      <c r="A16" t="s">
        <v>63</v>
      </c>
      <c r="B16" s="10">
        <f>17000*0.6</f>
        <v>10200</v>
      </c>
    </row>
    <row r="17" spans="1:4" x14ac:dyDescent="0.25">
      <c r="A17" t="s">
        <v>64</v>
      </c>
      <c r="B17" s="24">
        <f>B16*0.3</f>
        <v>3060</v>
      </c>
    </row>
    <row r="18" spans="1:4" x14ac:dyDescent="0.25">
      <c r="A18" t="s">
        <v>65</v>
      </c>
      <c r="B18" s="10">
        <f>B16*0.172</f>
        <v>1754.3999999999999</v>
      </c>
    </row>
    <row r="21" spans="1:4" x14ac:dyDescent="0.25">
      <c r="A21" t="s">
        <v>66</v>
      </c>
    </row>
    <row r="23" spans="1:4" x14ac:dyDescent="0.25">
      <c r="A23" t="s">
        <v>67</v>
      </c>
      <c r="B23" s="12">
        <f>B5*0.6</f>
        <v>21000</v>
      </c>
    </row>
    <row r="24" spans="1:4" x14ac:dyDescent="0.25">
      <c r="A24" s="10" t="s">
        <v>61</v>
      </c>
      <c r="B24" s="10">
        <f>23000*0.9</f>
        <v>20700</v>
      </c>
    </row>
    <row r="25" spans="1:4" x14ac:dyDescent="0.25">
      <c r="A25" t="s">
        <v>47</v>
      </c>
      <c r="B25" s="12">
        <f>B23+B24</f>
        <v>41700</v>
      </c>
    </row>
    <row r="27" spans="1:4" x14ac:dyDescent="0.25">
      <c r="A27" s="1"/>
      <c r="B27" s="3" t="s">
        <v>1</v>
      </c>
      <c r="C27" s="3" t="s">
        <v>2</v>
      </c>
      <c r="D27" s="3" t="s">
        <v>15</v>
      </c>
    </row>
    <row r="28" spans="1:4" x14ac:dyDescent="0.25">
      <c r="A28" s="1" t="s">
        <v>23</v>
      </c>
      <c r="B28" s="4">
        <v>0</v>
      </c>
      <c r="C28" s="11">
        <v>10225</v>
      </c>
      <c r="D28" s="8">
        <f>B28*C28</f>
        <v>0</v>
      </c>
    </row>
    <row r="29" spans="1:4" x14ac:dyDescent="0.25">
      <c r="A29" s="1" t="s">
        <v>24</v>
      </c>
      <c r="B29" s="4">
        <v>0.11</v>
      </c>
      <c r="C29" s="11">
        <f>(26070-10225)</f>
        <v>15845</v>
      </c>
      <c r="D29" s="11">
        <f>B29*C29</f>
        <v>1742.95</v>
      </c>
    </row>
    <row r="30" spans="1:4" x14ac:dyDescent="0.25">
      <c r="A30" s="1" t="s">
        <v>25</v>
      </c>
      <c r="B30" s="4">
        <v>0.3</v>
      </c>
      <c r="C30" s="15">
        <f>B25-26070</f>
        <v>15630</v>
      </c>
      <c r="D30" s="11">
        <f>B30*C30</f>
        <v>4689</v>
      </c>
    </row>
    <row r="31" spans="1:4" x14ac:dyDescent="0.25">
      <c r="A31" s="32" t="s">
        <v>62</v>
      </c>
      <c r="B31" s="32"/>
      <c r="C31" s="32"/>
      <c r="D31" s="23">
        <f>D28+D29+D30</f>
        <v>6431.95</v>
      </c>
    </row>
    <row r="34" spans="1:4" x14ac:dyDescent="0.25">
      <c r="A34" t="s">
        <v>68</v>
      </c>
      <c r="B34" s="12">
        <f>B16</f>
        <v>10200</v>
      </c>
      <c r="C34" s="21">
        <v>0.17199999999999999</v>
      </c>
      <c r="D34" s="25">
        <f>B34*C34</f>
        <v>1754.3999999999999</v>
      </c>
    </row>
  </sheetData>
  <mergeCells count="2">
    <mergeCell ref="A14:C14"/>
    <mergeCell ref="A31:C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4C59-DED7-4C71-A526-C75761E1723B}">
  <dimension ref="A4:L14"/>
  <sheetViews>
    <sheetView showGridLines="0" zoomScale="130" zoomScaleNormal="130" workbookViewId="0">
      <selection activeCell="H20" sqref="H20"/>
    </sheetView>
  </sheetViews>
  <sheetFormatPr baseColWidth="10" defaultRowHeight="15" x14ac:dyDescent="0.25"/>
  <sheetData>
    <row r="4" spans="1:12" x14ac:dyDescent="0.25">
      <c r="A4" t="s">
        <v>69</v>
      </c>
    </row>
    <row r="6" spans="1:12" x14ac:dyDescent="0.25">
      <c r="A6" s="26" t="s">
        <v>73</v>
      </c>
      <c r="B6" s="9"/>
      <c r="C6" s="9"/>
      <c r="D6" s="9"/>
    </row>
    <row r="8" spans="1:12" x14ac:dyDescent="0.25">
      <c r="A8" t="s">
        <v>70</v>
      </c>
    </row>
    <row r="10" spans="1:12" x14ac:dyDescent="0.25">
      <c r="A10" s="9" t="s">
        <v>71</v>
      </c>
      <c r="B10" s="9"/>
      <c r="C10" s="9"/>
      <c r="D10" s="9"/>
      <c r="E10" s="9"/>
      <c r="F10" s="9"/>
    </row>
    <row r="12" spans="1:12" x14ac:dyDescent="0.25">
      <c r="A12" t="s">
        <v>72</v>
      </c>
    </row>
    <row r="14" spans="1:12" x14ac:dyDescent="0.25">
      <c r="A14" s="9" t="s">
        <v>74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C2FC-D528-40E6-9973-0F835FD4C704}">
  <dimension ref="A4:E23"/>
  <sheetViews>
    <sheetView showGridLines="0" workbookViewId="0">
      <selection activeCell="I18" sqref="I18"/>
    </sheetView>
  </sheetViews>
  <sheetFormatPr baseColWidth="10" defaultRowHeight="15" x14ac:dyDescent="0.25"/>
  <cols>
    <col min="1" max="1" width="20" customWidth="1"/>
    <col min="2" max="2" width="11.85546875" bestFit="1" customWidth="1"/>
    <col min="3" max="3" width="13.85546875" bestFit="1" customWidth="1"/>
    <col min="5" max="5" width="11.85546875" bestFit="1" customWidth="1"/>
  </cols>
  <sheetData>
    <row r="4" spans="1:5" x14ac:dyDescent="0.25">
      <c r="A4" s="27" t="s">
        <v>75</v>
      </c>
    </row>
    <row r="6" spans="1:5" x14ac:dyDescent="0.25">
      <c r="A6" t="s">
        <v>76</v>
      </c>
    </row>
    <row r="8" spans="1:5" x14ac:dyDescent="0.25">
      <c r="A8" t="s">
        <v>77</v>
      </c>
    </row>
    <row r="10" spans="1:5" x14ac:dyDescent="0.25">
      <c r="A10" s="10">
        <f>500000+17000+89000</f>
        <v>606000</v>
      </c>
      <c r="B10" s="21">
        <v>0.26500000000000001</v>
      </c>
      <c r="C10" s="24">
        <f>A10*B10</f>
        <v>160590</v>
      </c>
    </row>
    <row r="12" spans="1:5" x14ac:dyDescent="0.25">
      <c r="A12" t="s">
        <v>78</v>
      </c>
      <c r="C12" s="10">
        <v>58000</v>
      </c>
      <c r="D12" s="20">
        <v>0.25</v>
      </c>
      <c r="E12" s="24">
        <f>C12*D12</f>
        <v>14500</v>
      </c>
    </row>
    <row r="13" spans="1:5" x14ac:dyDescent="0.25">
      <c r="A13" t="s">
        <v>79</v>
      </c>
      <c r="C13" s="10">
        <v>39000</v>
      </c>
      <c r="D13" s="20">
        <v>0.24</v>
      </c>
      <c r="E13" s="24">
        <f>C13*D13</f>
        <v>9360</v>
      </c>
    </row>
    <row r="16" spans="1:5" x14ac:dyDescent="0.25">
      <c r="A16" s="27" t="s">
        <v>80</v>
      </c>
    </row>
    <row r="18" spans="1:4" x14ac:dyDescent="0.25">
      <c r="A18" t="s">
        <v>82</v>
      </c>
      <c r="B18" s="10">
        <v>12000</v>
      </c>
      <c r="C18" s="21">
        <f>C19</f>
        <v>0.26500000000000001</v>
      </c>
      <c r="D18" s="24">
        <f>B18*C18</f>
        <v>3180</v>
      </c>
    </row>
    <row r="19" spans="1:4" x14ac:dyDescent="0.25">
      <c r="A19" t="s">
        <v>81</v>
      </c>
      <c r="B19" s="10">
        <v>29000</v>
      </c>
      <c r="C19" s="21">
        <v>0.26500000000000001</v>
      </c>
      <c r="D19" s="24">
        <f>B19*C19</f>
        <v>7685</v>
      </c>
    </row>
    <row r="21" spans="1:4" x14ac:dyDescent="0.25">
      <c r="A21" t="s">
        <v>79</v>
      </c>
      <c r="B21" s="12">
        <f>B19+400000</f>
        <v>429000</v>
      </c>
      <c r="C21" s="20">
        <v>0.24</v>
      </c>
      <c r="D21" s="12">
        <f>B21*C21</f>
        <v>102960</v>
      </c>
    </row>
    <row r="22" spans="1:4" x14ac:dyDescent="0.25">
      <c r="A22" s="6" t="s">
        <v>83</v>
      </c>
      <c r="D22" s="12">
        <f>-D19</f>
        <v>-7685</v>
      </c>
    </row>
    <row r="23" spans="1:4" x14ac:dyDescent="0.25">
      <c r="A23" s="35" t="s">
        <v>79</v>
      </c>
      <c r="B23" s="35"/>
      <c r="C23" s="35"/>
      <c r="D23" s="25">
        <f>D21+D22</f>
        <v>95275</v>
      </c>
    </row>
  </sheetData>
  <mergeCells count="1"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CAMAS</vt:lpstr>
      <vt:lpstr>BART Exo2</vt:lpstr>
      <vt:lpstr>Exo complémentaire PFU ou non</vt:lpstr>
      <vt:lpstr>BART Exo3</vt:lpstr>
      <vt:lpstr>LAMAZOU</vt:lpstr>
      <vt:lpstr>2J</vt:lpstr>
      <vt:lpstr>PEYRON</vt:lpstr>
      <vt:lpstr>Beaunoise</vt:lpstr>
      <vt:lpstr>Exercice 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</dc:creator>
  <cp:keywords/>
  <dc:description/>
  <cp:lastModifiedBy>NOEL Eric</cp:lastModifiedBy>
  <cp:revision/>
  <dcterms:created xsi:type="dcterms:W3CDTF">2010-07-07T07:30:30Z</dcterms:created>
  <dcterms:modified xsi:type="dcterms:W3CDTF">2021-12-09T13:09:19Z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4e86e229-efe1-4379-8823-c5585e876857</vt:lpwstr>
  </property>
</Properties>
</file>