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85c9127a006cce5/Enseignement/IUT BRETIGNY GEA/Cours DUT GEA 2ème année/M3106 FA/M3106 2021 2022/"/>
    </mc:Choice>
  </mc:AlternateContent>
  <xr:revisionPtr revIDLastSave="5" documentId="8_{688B5BAB-9753-4E25-80F0-3D556FE29C4F}" xr6:coauthVersionLast="36" xr6:coauthVersionMax="36" xr10:uidLastSave="{ED895EAD-8054-422A-8444-7260B82648D4}"/>
  <bookViews>
    <workbookView xWindow="0" yWindow="0" windowWidth="28800" windowHeight="12225" xr2:uid="{1FB733CD-9ED1-4E19-9C02-4C5DC43974C0}"/>
  </bookViews>
  <sheets>
    <sheet name="Exercice 1" sheetId="1" r:id="rId1"/>
    <sheet name="Exercice 2" sheetId="2" r:id="rId2"/>
    <sheet name="Exercice 3" sheetId="3" r:id="rId3"/>
    <sheet name="Exercice 4" sheetId="4" r:id="rId4"/>
    <sheet name="Exercice 5" sheetId="5" r:id="rId5"/>
    <sheet name="Exercice 6" sheetId="6" r:id="rId6"/>
    <sheet name="Exercice 7" sheetId="7" r:id="rId7"/>
    <sheet name="Exercice 8" sheetId="8" r:id="rId8"/>
    <sheet name="Exercice 9" sheetId="9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9" l="1"/>
  <c r="C12" i="9" s="1"/>
  <c r="B21" i="9" s="1"/>
  <c r="B20" i="9"/>
  <c r="C11" i="9"/>
  <c r="C7" i="8"/>
  <c r="C5" i="8"/>
  <c r="C4" i="8"/>
  <c r="C26" i="8"/>
  <c r="B24" i="8"/>
  <c r="C24" i="8" s="1"/>
  <c r="B18" i="8"/>
  <c r="C11" i="8"/>
  <c r="B22" i="9" l="1"/>
  <c r="C18" i="8"/>
  <c r="C19" i="8" s="1"/>
  <c r="B23" i="8" l="1"/>
  <c r="C23" i="8" s="1"/>
  <c r="C27" i="8" s="1"/>
  <c r="B25" i="7"/>
  <c r="B24" i="7"/>
  <c r="B23" i="7"/>
  <c r="B20" i="7"/>
  <c r="C20" i="7"/>
  <c r="C10" i="7"/>
  <c r="C9" i="7"/>
  <c r="C8" i="7"/>
  <c r="C17" i="7"/>
  <c r="C13" i="7"/>
  <c r="C12" i="7"/>
  <c r="C5" i="7"/>
  <c r="A14" i="6"/>
  <c r="B9" i="6"/>
  <c r="B10" i="6" s="1"/>
  <c r="B11" i="6" s="1"/>
  <c r="D14" i="6" s="1"/>
  <c r="C5" i="6"/>
  <c r="C6" i="6" s="1"/>
  <c r="B13" i="6" s="1"/>
  <c r="D13" i="6" s="1"/>
  <c r="B30" i="5"/>
  <c r="F18" i="5"/>
  <c r="F17" i="5"/>
  <c r="B17" i="5"/>
  <c r="B18" i="5" s="1"/>
  <c r="C5" i="5" s="1"/>
  <c r="B8" i="5"/>
  <c r="B9" i="4"/>
  <c r="B11" i="4" s="1"/>
  <c r="B7" i="4"/>
  <c r="B8" i="4"/>
  <c r="C11" i="3"/>
  <c r="C10" i="3"/>
  <c r="E4" i="3"/>
  <c r="F4" i="3" s="1"/>
  <c r="F3" i="3"/>
  <c r="E3" i="3"/>
  <c r="C21" i="7" l="1"/>
  <c r="D15" i="6"/>
  <c r="F19" i="5"/>
  <c r="C6" i="5" s="1"/>
  <c r="C8" i="5"/>
  <c r="C9" i="5" s="1"/>
  <c r="B16" i="2"/>
  <c r="B15" i="2"/>
  <c r="B14" i="2"/>
  <c r="E9" i="2"/>
  <c r="B9" i="2"/>
  <c r="B6" i="2"/>
  <c r="C18" i="1" l="1"/>
  <c r="C17" i="1"/>
  <c r="C16" i="1"/>
  <c r="B17" i="1"/>
  <c r="B16" i="1"/>
  <c r="B13" i="1"/>
  <c r="C11" i="1"/>
  <c r="B11" i="1"/>
  <c r="C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C6" authorId="0" shapeId="0" xr:uid="{4A6B15B7-01F2-4764-BFF4-C36DDE8DB991}">
      <text>
        <r>
          <rPr>
            <b/>
            <sz val="9"/>
            <color indexed="81"/>
            <rFont val="Tahoma"/>
            <family val="2"/>
          </rPr>
          <t>17000*0,05 = 850€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B9" authorId="0" shapeId="0" xr:uid="{1DC96DF5-5787-4F57-8431-B2D194D72BE0}">
      <text>
        <r>
          <rPr>
            <b/>
            <sz val="9"/>
            <color indexed="81"/>
            <rFont val="Tahoma"/>
            <family val="2"/>
          </rPr>
          <t>1 200 000 * 5/1000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<sst xmlns="http://schemas.openxmlformats.org/spreadsheetml/2006/main" count="188" uniqueCount="137">
  <si>
    <t>D</t>
  </si>
  <si>
    <t>R</t>
  </si>
  <si>
    <t>Bénéfice comptable</t>
  </si>
  <si>
    <t>Redevances</t>
  </si>
  <si>
    <t>Dividendes</t>
  </si>
  <si>
    <t>Bateau de plaisance</t>
  </si>
  <si>
    <t>Entretien de la maison du gérant</t>
  </si>
  <si>
    <t>Facture égarée</t>
  </si>
  <si>
    <t>Taxe foncière du gérant</t>
  </si>
  <si>
    <t>TOTAUX</t>
  </si>
  <si>
    <t>RESULTAT FISCAL</t>
  </si>
  <si>
    <t>IS</t>
  </si>
  <si>
    <t>15% (PME)</t>
  </si>
  <si>
    <t>15% (Redevance Brevet)</t>
  </si>
  <si>
    <t>TOTAL IS</t>
  </si>
  <si>
    <t>Base</t>
  </si>
  <si>
    <t>Montant</t>
  </si>
  <si>
    <t>Dépense somptaire</t>
  </si>
  <si>
    <t>Dépense à caractère personnel</t>
  </si>
  <si>
    <t>Condition de forme (manque la facture)</t>
  </si>
  <si>
    <t>Véhicule 1</t>
  </si>
  <si>
    <t>Prix TTC</t>
  </si>
  <si>
    <t>Limite fiscale</t>
  </si>
  <si>
    <t>Réintégration</t>
  </si>
  <si>
    <t>Véhicule 2</t>
  </si>
  <si>
    <t>Véhicule  3</t>
  </si>
  <si>
    <t>Location &lt;  3 MOIS</t>
  </si>
  <si>
    <t>Aucune</t>
  </si>
  <si>
    <t>Réintégration V1</t>
  </si>
  <si>
    <t>Réintégration V2</t>
  </si>
  <si>
    <t>Bénéfice fiscal</t>
  </si>
  <si>
    <t>=(42000/5*8/12) - (20300/5*8/12)</t>
  </si>
  <si>
    <t>=(33000/5*5/12) - (9900/5 * 5/12)</t>
  </si>
  <si>
    <t>Miller</t>
  </si>
  <si>
    <t>10 mois</t>
  </si>
  <si>
    <t>Taux moyen bancaire 2021  : 1,17%</t>
  </si>
  <si>
    <t>Intérêts versés</t>
  </si>
  <si>
    <t>Intérêts fiscalement déductibles</t>
  </si>
  <si>
    <t>Durée</t>
  </si>
  <si>
    <t>Montant du prêt</t>
  </si>
  <si>
    <t>Engen</t>
  </si>
  <si>
    <t>12 mois</t>
  </si>
  <si>
    <t>Taux de rémunération Miller</t>
  </si>
  <si>
    <t>666,67 / 20000 * 12/10   =  4%</t>
  </si>
  <si>
    <t>Taux de rémunération Engen</t>
  </si>
  <si>
    <t>550 / 11000   =  5%</t>
  </si>
  <si>
    <t>Résultat comptable</t>
  </si>
  <si>
    <t>Résultat fiscal</t>
  </si>
  <si>
    <t xml:space="preserve">Somme des jetons de présence versés  : </t>
  </si>
  <si>
    <t xml:space="preserve">Moyenne des 10 meilleures rémunérations  :  620000 / 10 </t>
  </si>
  <si>
    <t xml:space="preserve">Nombre d'administrateur par an (proratisé) : 2 +(9*12)  </t>
  </si>
  <si>
    <t>Limite fiscale (5% * 62000 * 2,75)</t>
  </si>
  <si>
    <t>Résultat fiscal (29000 + 3275)</t>
  </si>
  <si>
    <t>RAF</t>
  </si>
  <si>
    <t>Observations</t>
  </si>
  <si>
    <t>Abandon filiale A</t>
  </si>
  <si>
    <t>XX</t>
  </si>
  <si>
    <t>Abandon commercial - déductible</t>
  </si>
  <si>
    <t>Abandon filiale B</t>
  </si>
  <si>
    <t>'(1)  35000 - 7000  = 28000</t>
  </si>
  <si>
    <t>Abandon filiale C</t>
  </si>
  <si>
    <t>(2) 55000 - 41000 = 14000</t>
  </si>
  <si>
    <t>Abandon filiale D</t>
  </si>
  <si>
    <t>(3)</t>
  </si>
  <si>
    <t>(1) - Filiale B</t>
  </si>
  <si>
    <t>(2) - Filiale C</t>
  </si>
  <si>
    <t xml:space="preserve">Situation nette positive de </t>
  </si>
  <si>
    <t xml:space="preserve">Situation nette négative de </t>
  </si>
  <si>
    <t xml:space="preserve">Abandon de créance de </t>
  </si>
  <si>
    <t>Montant déductible</t>
  </si>
  <si>
    <t>35000*20%</t>
  </si>
  <si>
    <t>Jusqu' à la situation négative</t>
  </si>
  <si>
    <t>TOTAL</t>
  </si>
  <si>
    <t>Au dela (55000-20000)*60%</t>
  </si>
  <si>
    <t>(3) - Filiale D</t>
  </si>
  <si>
    <t>Dons</t>
  </si>
  <si>
    <t xml:space="preserve">CA </t>
  </si>
  <si>
    <t>Limite 5/00 pour le calcul</t>
  </si>
  <si>
    <t>Base de calcul</t>
  </si>
  <si>
    <t>Réduction d'impôt 60%</t>
  </si>
  <si>
    <t>IS du</t>
  </si>
  <si>
    <t>IS A PAYER</t>
  </si>
  <si>
    <t>Les dons non déductibles fiscalement</t>
  </si>
  <si>
    <t>Les 2000€ (8000€ - 6000€) non utilisés peuvent être utilisés pendant 5 ans pour calculer une réduction d'impôt</t>
  </si>
  <si>
    <t>Eléments</t>
  </si>
  <si>
    <t>Déduction</t>
  </si>
  <si>
    <t>Location du chalet</t>
  </si>
  <si>
    <t>Réintégration TTC</t>
  </si>
  <si>
    <t>2024*1,20</t>
  </si>
  <si>
    <t>Amende pour erreur de déclaration CET</t>
  </si>
  <si>
    <t>Rappel de taxe d’apprentissage </t>
  </si>
  <si>
    <t>XXX</t>
  </si>
  <si>
    <t>Jetons de présence</t>
  </si>
  <si>
    <t>Compte courant : Associé 40%</t>
  </si>
  <si>
    <t>Compte courant : Associé 5%</t>
  </si>
  <si>
    <t>Taxe sur véhicule de société</t>
  </si>
  <si>
    <t>Location Renault Espace</t>
  </si>
  <si>
    <t>=(32500-9900)*0,2*4/12</t>
  </si>
  <si>
    <t>Location Renault Scénic</t>
  </si>
  <si>
    <t>=(21500-18300)*0,2*9/12</t>
  </si>
  <si>
    <t>Location  camionnette Citroën</t>
  </si>
  <si>
    <t>xxx</t>
  </si>
  <si>
    <t>Assurance vie au profit de l’épouse</t>
  </si>
  <si>
    <t>Assurance vie au profit de la banque</t>
  </si>
  <si>
    <t>Frais relatif à une partie de chasse</t>
  </si>
  <si>
    <t>Dépense somptaire à réintégrer TTC</t>
  </si>
  <si>
    <t>2980*1,2</t>
  </si>
  <si>
    <t>Participation</t>
  </si>
  <si>
    <t>Résultat Fiscal</t>
  </si>
  <si>
    <t>24000-18375</t>
  </si>
  <si>
    <t>1050-351</t>
  </si>
  <si>
    <t>262,5-87,75</t>
  </si>
  <si>
    <t>IS 26,50% de 81612€</t>
  </si>
  <si>
    <t>Réduction dons (3000*60%)</t>
  </si>
  <si>
    <t>Aucune réintégration</t>
  </si>
  <si>
    <t>X</t>
  </si>
  <si>
    <t>R. FISCAL</t>
  </si>
  <si>
    <t>IS 26,50%</t>
  </si>
  <si>
    <t>IS 15%</t>
  </si>
  <si>
    <t>Crédit d'impôt Apprentis</t>
  </si>
  <si>
    <t>Réduction d'impôt dons</t>
  </si>
  <si>
    <t>(31000-9900)*0,2*9/12</t>
  </si>
  <si>
    <t>(29000-18300)*0,2</t>
  </si>
  <si>
    <t>1100-(33000*0,0117*10/12)</t>
  </si>
  <si>
    <t>9200*1,20</t>
  </si>
  <si>
    <t>&lt; 5% donc pas filiale</t>
  </si>
  <si>
    <t xml:space="preserve">1 </t>
  </si>
  <si>
    <t>2</t>
  </si>
  <si>
    <t>3</t>
  </si>
  <si>
    <t>Oui car les 3 critères sont réunis</t>
  </si>
  <si>
    <t>4</t>
  </si>
  <si>
    <t>IS DU</t>
  </si>
  <si>
    <t>Oui car la filiale SEIZINGER est detenue à hauteur de 40% depuis plus de 2ans</t>
  </si>
  <si>
    <t>Dividendes SEIZINGER</t>
  </si>
  <si>
    <t>Abandon WENZEL</t>
  </si>
  <si>
    <t>Pas de régularisation</t>
  </si>
  <si>
    <t>Abandon HESS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</si>
</sst>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7" formatCode="#,##0.00\ &quot;€&quot;"/>
    <numFmt numFmtId="169" formatCode="#,##0\ &quot;€&quot;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1"/>
      <name val="Calibri"/>
      <family val="2"/>
      <scheme val="minor"/>
    </font>
    <font>
      <b/>
      <sz val="13"/>
      <name val="Arial"/>
      <family val="2"/>
    </font>
    <font>
      <b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4"/>
      <color theme="0"/>
      <name val="Times New Roman"/>
      <family val="1"/>
    </font>
    <font>
      <sz val="14"/>
      <name val="Times New Roman"/>
      <family val="1"/>
    </font>
    <font>
      <sz val="10"/>
      <color theme="0"/>
      <name val="Times New Roman"/>
      <family val="1"/>
    </font>
    <font>
      <b/>
      <sz val="18"/>
      <color theme="0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2"/>
      <color theme="0"/>
      <name val="Times New Roman"/>
      <family val="1"/>
    </font>
    <font>
      <b/>
      <sz val="16"/>
      <name val="Arial"/>
      <family val="2"/>
    </font>
    <font>
      <b/>
      <sz val="16"/>
      <color theme="0"/>
      <name val="Times New Roman"/>
      <family val="1"/>
    </font>
    <font>
      <b/>
      <sz val="16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110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4" fontId="0" fillId="0" borderId="1" xfId="1" applyFont="1" applyBorder="1"/>
    <xf numFmtId="164" fontId="0" fillId="0" borderId="1" xfId="1" applyNumberFormat="1" applyFont="1" applyBorder="1"/>
    <xf numFmtId="44" fontId="2" fillId="0" borderId="1" xfId="1" applyFont="1" applyBorder="1"/>
    <xf numFmtId="44" fontId="2" fillId="0" borderId="1" xfId="1" applyFont="1" applyBorder="1" applyAlignment="1">
      <alignment horizontal="center"/>
    </xf>
    <xf numFmtId="164" fontId="2" fillId="0" borderId="1" xfId="1" applyNumberFormat="1" applyFont="1" applyBorder="1"/>
    <xf numFmtId="164" fontId="0" fillId="0" borderId="0" xfId="0" applyNumberFormat="1"/>
    <xf numFmtId="164" fontId="0" fillId="0" borderId="1" xfId="1" applyNumberFormat="1" applyFont="1" applyBorder="1" applyAlignment="1">
      <alignment horizontal="center"/>
    </xf>
    <xf numFmtId="0" fontId="2" fillId="2" borderId="1" xfId="0" applyFont="1" applyFill="1" applyBorder="1"/>
    <xf numFmtId="44" fontId="2" fillId="2" borderId="1" xfId="1" applyFont="1" applyFill="1" applyBorder="1"/>
    <xf numFmtId="0" fontId="0" fillId="0" borderId="2" xfId="0" quotePrefix="1" applyFill="1" applyBorder="1"/>
    <xf numFmtId="0" fontId="0" fillId="0" borderId="1" xfId="0" applyBorder="1" applyAlignment="1">
      <alignment horizontal="center"/>
    </xf>
    <xf numFmtId="0" fontId="5" fillId="0" borderId="1" xfId="0" applyFont="1" applyBorder="1"/>
    <xf numFmtId="164" fontId="5" fillId="0" borderId="1" xfId="1" applyNumberFormat="1" applyFont="1" applyBorder="1"/>
    <xf numFmtId="0" fontId="5" fillId="0" borderId="0" xfId="0" applyFont="1"/>
    <xf numFmtId="0" fontId="5" fillId="2" borderId="1" xfId="0" applyFont="1" applyFill="1" applyBorder="1"/>
    <xf numFmtId="164" fontId="5" fillId="2" borderId="1" xfId="1" applyNumberFormat="1" applyFont="1" applyFill="1" applyBorder="1"/>
    <xf numFmtId="44" fontId="0" fillId="2" borderId="1" xfId="1" applyFont="1" applyFill="1" applyBorder="1"/>
    <xf numFmtId="164" fontId="0" fillId="2" borderId="1" xfId="1" applyNumberFormat="1" applyFont="1" applyFill="1" applyBorder="1"/>
    <xf numFmtId="0" fontId="0" fillId="0" borderId="1" xfId="0" applyBorder="1" applyAlignment="1">
      <alignment horizontal="center"/>
    </xf>
    <xf numFmtId="44" fontId="0" fillId="0" borderId="0" xfId="1" applyFont="1"/>
    <xf numFmtId="0" fontId="0" fillId="0" borderId="1" xfId="0" applyBorder="1" applyAlignment="1">
      <alignment horizontal="center" wrapText="1"/>
    </xf>
    <xf numFmtId="0" fontId="0" fillId="0" borderId="0" xfId="0" quotePrefix="1"/>
    <xf numFmtId="44" fontId="0" fillId="0" borderId="0" xfId="0" applyNumberFormat="1"/>
    <xf numFmtId="0" fontId="0" fillId="0" borderId="1" xfId="0" applyBorder="1" applyAlignment="1">
      <alignment wrapText="1"/>
    </xf>
    <xf numFmtId="6" fontId="0" fillId="0" borderId="1" xfId="0" applyNumberFormat="1" applyBorder="1"/>
    <xf numFmtId="6" fontId="2" fillId="2" borderId="1" xfId="0" applyNumberFormat="1" applyFont="1" applyFill="1" applyBorder="1"/>
    <xf numFmtId="0" fontId="7" fillId="0" borderId="3" xfId="0" applyFont="1" applyFill="1" applyBorder="1" applyAlignment="1">
      <alignment horizontal="center"/>
    </xf>
    <xf numFmtId="44" fontId="9" fillId="0" borderId="1" xfId="2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44" fontId="1" fillId="0" borderId="1" xfId="2" applyFont="1" applyBorder="1"/>
    <xf numFmtId="0" fontId="8" fillId="0" borderId="1" xfId="0" applyFont="1" applyBorder="1"/>
    <xf numFmtId="44" fontId="6" fillId="0" borderId="1" xfId="2" applyFont="1" applyBorder="1"/>
    <xf numFmtId="0" fontId="8" fillId="3" borderId="1" xfId="0" applyFont="1" applyFill="1" applyBorder="1"/>
    <xf numFmtId="6" fontId="5" fillId="0" borderId="1" xfId="2" applyNumberFormat="1" applyFont="1" applyBorder="1"/>
    <xf numFmtId="0" fontId="10" fillId="0" borderId="1" xfId="0" applyFont="1" applyBorder="1" applyAlignment="1">
      <alignment horizontal="center"/>
    </xf>
    <xf numFmtId="0" fontId="8" fillId="4" borderId="1" xfId="0" quotePrefix="1" applyFont="1" applyFill="1" applyBorder="1"/>
    <xf numFmtId="0" fontId="8" fillId="5" borderId="1" xfId="0" quotePrefix="1" applyFont="1" applyFill="1" applyBorder="1"/>
    <xf numFmtId="0" fontId="8" fillId="6" borderId="1" xfId="0" quotePrefix="1" applyFont="1" applyFill="1" applyBorder="1"/>
    <xf numFmtId="44" fontId="9" fillId="0" borderId="1" xfId="2" applyFont="1" applyBorder="1"/>
    <xf numFmtId="0" fontId="8" fillId="7" borderId="1" xfId="0" quotePrefix="1" applyFont="1" applyFill="1" applyBorder="1" applyAlignment="1">
      <alignment horizontal="center"/>
    </xf>
    <xf numFmtId="0" fontId="8" fillId="8" borderId="1" xfId="0" quotePrefix="1" applyFont="1" applyFill="1" applyBorder="1" applyAlignment="1">
      <alignment horizontal="center"/>
    </xf>
    <xf numFmtId="0" fontId="0" fillId="7" borderId="1" xfId="0" applyFill="1" applyBorder="1"/>
    <xf numFmtId="0" fontId="0" fillId="8" borderId="1" xfId="0" applyFill="1" applyBorder="1"/>
    <xf numFmtId="0" fontId="8" fillId="7" borderId="1" xfId="0" applyFont="1" applyFill="1" applyBorder="1"/>
    <xf numFmtId="6" fontId="0" fillId="7" borderId="1" xfId="0" applyNumberFormat="1" applyFill="1" applyBorder="1"/>
    <xf numFmtId="0" fontId="8" fillId="8" borderId="1" xfId="0" applyFont="1" applyFill="1" applyBorder="1"/>
    <xf numFmtId="6" fontId="0" fillId="8" borderId="1" xfId="0" applyNumberFormat="1" applyFill="1" applyBorder="1"/>
    <xf numFmtId="6" fontId="2" fillId="8" borderId="1" xfId="0" applyNumberFormat="1" applyFont="1" applyFill="1" applyBorder="1"/>
    <xf numFmtId="0" fontId="9" fillId="7" borderId="1" xfId="0" applyFont="1" applyFill="1" applyBorder="1"/>
    <xf numFmtId="6" fontId="9" fillId="7" borderId="1" xfId="0" applyNumberFormat="1" applyFont="1" applyFill="1" applyBorder="1"/>
    <xf numFmtId="0" fontId="9" fillId="8" borderId="1" xfId="0" applyFont="1" applyFill="1" applyBorder="1"/>
    <xf numFmtId="6" fontId="9" fillId="8" borderId="1" xfId="0" applyNumberFormat="1" applyFont="1" applyFill="1" applyBorder="1"/>
    <xf numFmtId="0" fontId="8" fillId="6" borderId="1" xfId="0" quotePrefix="1" applyFont="1" applyFill="1" applyBorder="1" applyAlignment="1">
      <alignment horizontal="center"/>
    </xf>
    <xf numFmtId="0" fontId="0" fillId="6" borderId="1" xfId="0" applyFill="1" applyBorder="1"/>
    <xf numFmtId="0" fontId="8" fillId="6" borderId="1" xfId="0" applyFont="1" applyFill="1" applyBorder="1"/>
    <xf numFmtId="6" fontId="0" fillId="6" borderId="1" xfId="0" applyNumberFormat="1" applyFill="1" applyBorder="1"/>
    <xf numFmtId="0" fontId="9" fillId="6" borderId="1" xfId="0" applyFont="1" applyFill="1" applyBorder="1"/>
    <xf numFmtId="6" fontId="9" fillId="6" borderId="1" xfId="0" applyNumberFormat="1" applyFont="1" applyFill="1" applyBorder="1"/>
    <xf numFmtId="9" fontId="0" fillId="0" borderId="0" xfId="0" applyNumberFormat="1"/>
    <xf numFmtId="44" fontId="1" fillId="0" borderId="1" xfId="1" applyFont="1" applyBorder="1"/>
    <xf numFmtId="44" fontId="1" fillId="0" borderId="1" xfId="1" applyFont="1" applyBorder="1" applyAlignment="1">
      <alignment horizontal="center"/>
    </xf>
    <xf numFmtId="44" fontId="5" fillId="0" borderId="1" xfId="1" applyFont="1" applyBorder="1"/>
    <xf numFmtId="44" fontId="5" fillId="2" borderId="1" xfId="1" applyFont="1" applyFill="1" applyBorder="1"/>
    <xf numFmtId="44" fontId="11" fillId="0" borderId="1" xfId="1" applyFont="1" applyBorder="1"/>
    <xf numFmtId="44" fontId="1" fillId="0" borderId="0" xfId="1" applyFont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10" fontId="5" fillId="0" borderId="1" xfId="0" applyNumberFormat="1" applyFont="1" applyBorder="1"/>
    <xf numFmtId="44" fontId="11" fillId="2" borderId="1" xfId="1" applyFont="1" applyFill="1" applyBorder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67" fontId="1" fillId="0" borderId="0" xfId="2" applyNumberFormat="1" applyFont="1" applyAlignment="1">
      <alignment horizontal="right"/>
    </xf>
    <xf numFmtId="0" fontId="12" fillId="0" borderId="1" xfId="0" applyFont="1" applyBorder="1" applyAlignment="1">
      <alignment vertical="top" wrapText="1"/>
    </xf>
    <xf numFmtId="167" fontId="13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167" fontId="14" fillId="0" borderId="1" xfId="0" applyNumberFormat="1" applyFont="1" applyBorder="1" applyAlignment="1">
      <alignment horizontal="right" vertical="top" wrapText="1"/>
    </xf>
    <xf numFmtId="0" fontId="15" fillId="0" borderId="1" xfId="0" applyFont="1" applyBorder="1" applyAlignment="1">
      <alignment horizontal="center" vertical="top" wrapText="1"/>
    </xf>
    <xf numFmtId="167" fontId="16" fillId="0" borderId="1" xfId="0" applyNumberFormat="1" applyFont="1" applyBorder="1" applyAlignment="1">
      <alignment horizontal="right" vertical="top" wrapText="1"/>
    </xf>
    <xf numFmtId="167" fontId="17" fillId="0" borderId="1" xfId="0" applyNumberFormat="1" applyFont="1" applyBorder="1" applyAlignment="1">
      <alignment horizontal="right" vertical="top" wrapText="1"/>
    </xf>
    <xf numFmtId="0" fontId="15" fillId="0" borderId="1" xfId="0" applyFont="1" applyBorder="1" applyAlignment="1">
      <alignment vertical="top" wrapText="1"/>
    </xf>
    <xf numFmtId="0" fontId="15" fillId="0" borderId="7" xfId="0" applyFont="1" applyBorder="1" applyAlignment="1">
      <alignment horizontal="center" vertical="top" wrapText="1"/>
    </xf>
    <xf numFmtId="0" fontId="18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167" fontId="15" fillId="0" borderId="1" xfId="0" applyNumberFormat="1" applyFont="1" applyBorder="1" applyAlignment="1">
      <alignment horizontal="right" vertical="top" wrapText="1"/>
    </xf>
    <xf numFmtId="0" fontId="22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vertical="top" wrapText="1"/>
    </xf>
    <xf numFmtId="167" fontId="21" fillId="0" borderId="1" xfId="0" applyNumberFormat="1" applyFont="1" applyBorder="1" applyAlignment="1">
      <alignment horizontal="right" vertical="top" wrapText="1"/>
    </xf>
    <xf numFmtId="0" fontId="18" fillId="0" borderId="1" xfId="0" applyFont="1" applyBorder="1" applyAlignment="1">
      <alignment vertical="top" wrapText="1"/>
    </xf>
    <xf numFmtId="169" fontId="1" fillId="0" borderId="1" xfId="2" applyNumberFormat="1" applyFont="1" applyBorder="1" applyAlignment="1">
      <alignment horizontal="right"/>
    </xf>
    <xf numFmtId="0" fontId="23" fillId="2" borderId="1" xfId="0" applyFont="1" applyFill="1" applyBorder="1" applyAlignment="1">
      <alignment vertical="top" wrapText="1"/>
    </xf>
    <xf numFmtId="167" fontId="24" fillId="2" borderId="1" xfId="0" applyNumberFormat="1" applyFont="1" applyFill="1" applyBorder="1" applyAlignment="1">
      <alignment horizontal="right" vertical="top" wrapText="1"/>
    </xf>
    <xf numFmtId="167" fontId="25" fillId="2" borderId="1" xfId="0" applyNumberFormat="1" applyFont="1" applyFill="1" applyBorder="1" applyAlignment="1">
      <alignment horizontal="right" vertical="top" wrapText="1"/>
    </xf>
    <xf numFmtId="169" fontId="2" fillId="2" borderId="1" xfId="2" applyNumberFormat="1" applyFont="1" applyFill="1" applyBorder="1" applyAlignment="1">
      <alignment horizontal="right"/>
    </xf>
    <xf numFmtId="44" fontId="0" fillId="0" borderId="1" xfId="1" applyFont="1" applyBorder="1" applyAlignment="1">
      <alignment horizontal="center"/>
    </xf>
    <xf numFmtId="0" fontId="0" fillId="0" borderId="0" xfId="0" quotePrefix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 wrapText="1"/>
    </xf>
    <xf numFmtId="0" fontId="0" fillId="0" borderId="8" xfId="0" applyBorder="1" applyAlignment="1">
      <alignment horizontal="left" vertical="top" wrapText="1"/>
    </xf>
    <xf numFmtId="164" fontId="2" fillId="2" borderId="1" xfId="1" applyNumberFormat="1" applyFont="1" applyFill="1" applyBorder="1"/>
  </cellXfs>
  <cellStyles count="3">
    <cellStyle name="Euro" xfId="2" xr:uid="{EF8791AE-DC4C-4059-A720-BAAF137AE225}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5C353-4C27-4B34-A959-5FA4F8772E5B}">
  <dimension ref="A3:F18"/>
  <sheetViews>
    <sheetView showGridLines="0" tabSelected="1" zoomScale="172" zoomScaleNormal="172" workbookViewId="0">
      <selection activeCell="G13" sqref="G13"/>
    </sheetView>
  </sheetViews>
  <sheetFormatPr baseColWidth="10" defaultRowHeight="15" x14ac:dyDescent="0.25"/>
  <cols>
    <col min="1" max="1" width="33" customWidth="1"/>
    <col min="2" max="2" width="14.85546875" customWidth="1"/>
    <col min="3" max="3" width="11.85546875" bestFit="1" customWidth="1"/>
  </cols>
  <sheetData>
    <row r="3" spans="1:6" x14ac:dyDescent="0.25">
      <c r="A3" s="1"/>
      <c r="B3" s="2" t="s">
        <v>0</v>
      </c>
      <c r="C3" s="2" t="s">
        <v>1</v>
      </c>
    </row>
    <row r="4" spans="1:6" x14ac:dyDescent="0.25">
      <c r="A4" s="1" t="s">
        <v>2</v>
      </c>
      <c r="B4" s="5"/>
      <c r="C4" s="5">
        <v>47400</v>
      </c>
    </row>
    <row r="5" spans="1:6" x14ac:dyDescent="0.25">
      <c r="A5" s="18" t="s">
        <v>3</v>
      </c>
      <c r="B5" s="19">
        <v>41000</v>
      </c>
      <c r="C5" s="16"/>
      <c r="D5" s="17"/>
    </row>
    <row r="6" spans="1:6" x14ac:dyDescent="0.25">
      <c r="A6" s="15" t="s">
        <v>4</v>
      </c>
      <c r="B6" s="16">
        <v>17000</v>
      </c>
      <c r="C6" s="16">
        <f>B6*0.05</f>
        <v>850</v>
      </c>
      <c r="D6" s="17"/>
    </row>
    <row r="7" spans="1:6" x14ac:dyDescent="0.25">
      <c r="A7" s="15" t="s">
        <v>5</v>
      </c>
      <c r="B7" s="16"/>
      <c r="C7" s="16">
        <v>8000</v>
      </c>
      <c r="D7" s="17" t="s">
        <v>17</v>
      </c>
    </row>
    <row r="8" spans="1:6" x14ac:dyDescent="0.25">
      <c r="A8" s="15" t="s">
        <v>6</v>
      </c>
      <c r="B8" s="16"/>
      <c r="C8" s="16">
        <v>4000</v>
      </c>
      <c r="D8" s="17" t="s">
        <v>18</v>
      </c>
    </row>
    <row r="9" spans="1:6" x14ac:dyDescent="0.25">
      <c r="A9" s="15" t="s">
        <v>7</v>
      </c>
      <c r="B9" s="16"/>
      <c r="C9" s="16">
        <v>1500</v>
      </c>
      <c r="D9" s="17" t="s">
        <v>19</v>
      </c>
      <c r="E9" s="17"/>
    </row>
    <row r="10" spans="1:6" x14ac:dyDescent="0.25">
      <c r="A10" s="15" t="s">
        <v>8</v>
      </c>
      <c r="B10" s="16"/>
      <c r="C10" s="16">
        <v>2200</v>
      </c>
      <c r="D10" s="17" t="s">
        <v>18</v>
      </c>
      <c r="E10" s="17"/>
      <c r="F10" s="17"/>
    </row>
    <row r="11" spans="1:6" x14ac:dyDescent="0.25">
      <c r="A11" s="1" t="s">
        <v>9</v>
      </c>
      <c r="B11" s="5">
        <f>SUM(B4:B10)</f>
        <v>58000</v>
      </c>
      <c r="C11" s="5">
        <f>SUM(C4:C10)</f>
        <v>63950</v>
      </c>
    </row>
    <row r="13" spans="1:6" x14ac:dyDescent="0.25">
      <c r="A13" s="3" t="s">
        <v>10</v>
      </c>
      <c r="B13" s="8">
        <f>C11-B11</f>
        <v>5950</v>
      </c>
      <c r="C13" s="9"/>
    </row>
    <row r="14" spans="1:6" x14ac:dyDescent="0.25">
      <c r="B14" s="9"/>
      <c r="C14" s="9"/>
    </row>
    <row r="15" spans="1:6" x14ac:dyDescent="0.25">
      <c r="A15" s="7" t="s">
        <v>11</v>
      </c>
      <c r="B15" s="10" t="s">
        <v>15</v>
      </c>
      <c r="C15" s="10" t="s">
        <v>16</v>
      </c>
    </row>
    <row r="16" spans="1:6" x14ac:dyDescent="0.25">
      <c r="A16" s="4" t="s">
        <v>12</v>
      </c>
      <c r="B16" s="5">
        <f>B13</f>
        <v>5950</v>
      </c>
      <c r="C16" s="5">
        <f>B16*0.15</f>
        <v>892.5</v>
      </c>
    </row>
    <row r="17" spans="1:3" x14ac:dyDescent="0.25">
      <c r="A17" s="20" t="s">
        <v>13</v>
      </c>
      <c r="B17" s="21">
        <f>B5</f>
        <v>41000</v>
      </c>
      <c r="C17" s="21">
        <f>B17*0.15</f>
        <v>6150</v>
      </c>
    </row>
    <row r="18" spans="1:3" x14ac:dyDescent="0.25">
      <c r="A18" s="6" t="s">
        <v>14</v>
      </c>
      <c r="B18" s="8"/>
      <c r="C18" s="8">
        <f>C16+C17</f>
        <v>7042.5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C93FA-2EB8-4EFC-8B86-BF2659FB3500}">
  <dimension ref="A5:H16"/>
  <sheetViews>
    <sheetView showGridLines="0" zoomScale="154" zoomScaleNormal="154" workbookViewId="0">
      <selection activeCell="H7" sqref="H7"/>
    </sheetView>
  </sheetViews>
  <sheetFormatPr baseColWidth="10" defaultRowHeight="15" x14ac:dyDescent="0.25"/>
  <cols>
    <col min="1" max="1" width="20.42578125" customWidth="1"/>
    <col min="2" max="2" width="14.42578125" customWidth="1"/>
    <col min="3" max="3" width="7.5703125" customWidth="1"/>
    <col min="4" max="4" width="19.5703125" customWidth="1"/>
    <col min="5" max="5" width="20.5703125" customWidth="1"/>
    <col min="6" max="6" width="6.85546875" customWidth="1"/>
    <col min="7" max="7" width="19" customWidth="1"/>
    <col min="8" max="8" width="20.140625" customWidth="1"/>
  </cols>
  <sheetData>
    <row r="5" spans="1:8" x14ac:dyDescent="0.25">
      <c r="A5" s="22" t="s">
        <v>20</v>
      </c>
      <c r="B5" s="22"/>
      <c r="D5" s="22" t="s">
        <v>24</v>
      </c>
      <c r="E5" s="22"/>
      <c r="G5" s="22" t="s">
        <v>25</v>
      </c>
      <c r="H5" s="22"/>
    </row>
    <row r="6" spans="1:8" x14ac:dyDescent="0.25">
      <c r="A6" s="1" t="s">
        <v>21</v>
      </c>
      <c r="B6" s="4">
        <f>35000*1.2</f>
        <v>42000</v>
      </c>
      <c r="D6" s="1" t="s">
        <v>21</v>
      </c>
      <c r="E6" s="4">
        <v>33000</v>
      </c>
      <c r="G6" s="1" t="s">
        <v>21</v>
      </c>
      <c r="H6" s="4">
        <v>54000</v>
      </c>
    </row>
    <row r="7" spans="1:8" x14ac:dyDescent="0.25">
      <c r="A7" s="1" t="s">
        <v>22</v>
      </c>
      <c r="B7" s="4">
        <v>20300</v>
      </c>
      <c r="D7" s="1" t="s">
        <v>22</v>
      </c>
      <c r="E7" s="4">
        <v>9900</v>
      </c>
      <c r="G7" s="1" t="s">
        <v>26</v>
      </c>
      <c r="H7" s="4"/>
    </row>
    <row r="8" spans="1:8" x14ac:dyDescent="0.25">
      <c r="A8" s="1"/>
      <c r="B8" s="4"/>
      <c r="D8" s="1"/>
      <c r="E8" s="4"/>
      <c r="G8" s="1"/>
      <c r="H8" s="4"/>
    </row>
    <row r="9" spans="1:8" x14ac:dyDescent="0.25">
      <c r="A9" s="11" t="s">
        <v>23</v>
      </c>
      <c r="B9" s="12">
        <f>(B6-B7)/5*8/12</f>
        <v>2893.3333333333335</v>
      </c>
      <c r="D9" s="11" t="s">
        <v>23</v>
      </c>
      <c r="E9" s="12">
        <f>(E6-E7)/5*5/12</f>
        <v>1925</v>
      </c>
      <c r="G9" s="11" t="s">
        <v>23</v>
      </c>
      <c r="H9" s="12" t="s">
        <v>27</v>
      </c>
    </row>
    <row r="10" spans="1:8" x14ac:dyDescent="0.25">
      <c r="A10" s="13" t="s">
        <v>31</v>
      </c>
      <c r="D10" s="13" t="s">
        <v>32</v>
      </c>
    </row>
    <row r="13" spans="1:8" x14ac:dyDescent="0.25">
      <c r="A13" s="1" t="s">
        <v>2</v>
      </c>
      <c r="B13" s="5">
        <v>12000</v>
      </c>
    </row>
    <row r="14" spans="1:8" x14ac:dyDescent="0.25">
      <c r="A14" s="1" t="s">
        <v>28</v>
      </c>
      <c r="B14" s="5">
        <f>B9</f>
        <v>2893.3333333333335</v>
      </c>
    </row>
    <row r="15" spans="1:8" x14ac:dyDescent="0.25">
      <c r="A15" s="1" t="s">
        <v>29</v>
      </c>
      <c r="B15" s="5">
        <f>E9</f>
        <v>1925</v>
      </c>
    </row>
    <row r="16" spans="1:8" x14ac:dyDescent="0.25">
      <c r="A16" s="3" t="s">
        <v>30</v>
      </c>
      <c r="B16" s="8">
        <f>B13+B14+B15</f>
        <v>16818.333333333336</v>
      </c>
    </row>
  </sheetData>
  <mergeCells count="3">
    <mergeCell ref="A5:B5"/>
    <mergeCell ref="D5:E5"/>
    <mergeCell ref="G5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1AE49-AB52-4AD9-8184-678E04163613}">
  <dimension ref="A1:F11"/>
  <sheetViews>
    <sheetView showGridLines="0" zoomScale="202" zoomScaleNormal="202" workbookViewId="0">
      <selection activeCell="A13" sqref="A13"/>
    </sheetView>
  </sheetViews>
  <sheetFormatPr baseColWidth="10" defaultRowHeight="15" x14ac:dyDescent="0.25"/>
  <cols>
    <col min="2" max="2" width="12.140625" bestFit="1" customWidth="1"/>
    <col min="4" max="4" width="15.42578125" customWidth="1"/>
    <col min="5" max="5" width="16.28515625" customWidth="1"/>
    <col min="6" max="6" width="15.140625" customWidth="1"/>
  </cols>
  <sheetData>
    <row r="1" spans="1:6" x14ac:dyDescent="0.25">
      <c r="A1" t="s">
        <v>35</v>
      </c>
    </row>
    <row r="2" spans="1:6" ht="45" x14ac:dyDescent="0.25">
      <c r="A2" s="1"/>
      <c r="B2" s="24" t="s">
        <v>39</v>
      </c>
      <c r="C2" s="14" t="s">
        <v>38</v>
      </c>
      <c r="D2" s="24" t="s">
        <v>36</v>
      </c>
      <c r="E2" s="24" t="s">
        <v>37</v>
      </c>
      <c r="F2" s="14" t="s">
        <v>23</v>
      </c>
    </row>
    <row r="3" spans="1:6" x14ac:dyDescent="0.25">
      <c r="A3" s="1" t="s">
        <v>33</v>
      </c>
      <c r="B3" s="5">
        <v>20000</v>
      </c>
      <c r="C3" s="1" t="s">
        <v>34</v>
      </c>
      <c r="D3" s="4">
        <v>666.67</v>
      </c>
      <c r="E3" s="4">
        <f>B3*10/12*0.0117</f>
        <v>195.00000000000003</v>
      </c>
      <c r="F3" s="4">
        <f>D3-E3</f>
        <v>471.66999999999996</v>
      </c>
    </row>
    <row r="4" spans="1:6" x14ac:dyDescent="0.25">
      <c r="A4" s="1" t="s">
        <v>40</v>
      </c>
      <c r="B4" s="5">
        <v>11000</v>
      </c>
      <c r="C4" s="1" t="s">
        <v>41</v>
      </c>
      <c r="D4" s="4">
        <v>550</v>
      </c>
      <c r="E4" s="4">
        <f>B4*0.0117</f>
        <v>128.70000000000002</v>
      </c>
      <c r="F4" s="4">
        <f>D4-E4</f>
        <v>421.29999999999995</v>
      </c>
    </row>
    <row r="6" spans="1:6" x14ac:dyDescent="0.25">
      <c r="A6" t="s">
        <v>42</v>
      </c>
      <c r="D6" t="s">
        <v>44</v>
      </c>
    </row>
    <row r="7" spans="1:6" x14ac:dyDescent="0.25">
      <c r="A7" s="25" t="s">
        <v>43</v>
      </c>
      <c r="D7" s="25" t="s">
        <v>45</v>
      </c>
    </row>
    <row r="9" spans="1:6" x14ac:dyDescent="0.25">
      <c r="A9" s="1" t="s">
        <v>46</v>
      </c>
      <c r="B9" s="1"/>
      <c r="C9" s="4">
        <v>9000</v>
      </c>
    </row>
    <row r="10" spans="1:6" x14ac:dyDescent="0.25">
      <c r="A10" s="1" t="s">
        <v>23</v>
      </c>
      <c r="B10" s="1"/>
      <c r="C10" s="4">
        <f>F3+F4</f>
        <v>892.96999999999991</v>
      </c>
    </row>
    <row r="11" spans="1:6" x14ac:dyDescent="0.25">
      <c r="A11" s="1" t="s">
        <v>47</v>
      </c>
      <c r="B11" s="1"/>
      <c r="C11" s="4">
        <f>C9+C10</f>
        <v>9892.9699999999993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6A49A-D94F-4188-9D9D-E9DC050136E3}">
  <dimension ref="A3:B11"/>
  <sheetViews>
    <sheetView showGridLines="0" zoomScale="238" zoomScaleNormal="238" workbookViewId="0">
      <selection activeCell="A9" sqref="A9:B9"/>
    </sheetView>
  </sheetViews>
  <sheetFormatPr baseColWidth="10" defaultRowHeight="15" x14ac:dyDescent="0.25"/>
  <cols>
    <col min="1" max="1" width="39.5703125" customWidth="1"/>
    <col min="2" max="2" width="12.28515625" bestFit="1" customWidth="1"/>
  </cols>
  <sheetData>
    <row r="3" spans="1:2" ht="30" x14ac:dyDescent="0.25">
      <c r="A3" s="27" t="s">
        <v>49</v>
      </c>
      <c r="B3" s="28">
        <v>62000</v>
      </c>
    </row>
    <row r="5" spans="1:2" ht="30" x14ac:dyDescent="0.25">
      <c r="A5" s="27" t="s">
        <v>50</v>
      </c>
      <c r="B5" s="1">
        <v>2.75</v>
      </c>
    </row>
    <row r="7" spans="1:2" x14ac:dyDescent="0.25">
      <c r="A7" s="1" t="s">
        <v>51</v>
      </c>
      <c r="B7" s="5">
        <f>B3*0.05*B5</f>
        <v>8525</v>
      </c>
    </row>
    <row r="8" spans="1:2" x14ac:dyDescent="0.25">
      <c r="A8" s="1" t="s">
        <v>48</v>
      </c>
      <c r="B8" s="5">
        <f>4200+4700+2900</f>
        <v>11800</v>
      </c>
    </row>
    <row r="9" spans="1:2" x14ac:dyDescent="0.25">
      <c r="A9" s="11" t="s">
        <v>23</v>
      </c>
      <c r="B9" s="29">
        <f>B8-B7</f>
        <v>3275</v>
      </c>
    </row>
    <row r="11" spans="1:2" x14ac:dyDescent="0.25">
      <c r="A11" s="11" t="s">
        <v>52</v>
      </c>
      <c r="B11" s="29">
        <f>29000+B9</f>
        <v>32275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FAC5F-9195-4731-A2A4-EC0436F98525}">
  <dimension ref="A1:F30"/>
  <sheetViews>
    <sheetView showGridLines="0" workbookViewId="0">
      <selection activeCell="G31" sqref="G31"/>
    </sheetView>
  </sheetViews>
  <sheetFormatPr baseColWidth="10" defaultRowHeight="15" x14ac:dyDescent="0.25"/>
  <cols>
    <col min="1" max="1" width="24.85546875" bestFit="1" customWidth="1"/>
    <col min="3" max="3" width="13.42578125" bestFit="1" customWidth="1"/>
    <col min="5" max="5" width="29" bestFit="1" customWidth="1"/>
    <col min="257" max="257" width="24.85546875" bestFit="1" customWidth="1"/>
    <col min="259" max="259" width="13.42578125" bestFit="1" customWidth="1"/>
    <col min="261" max="261" width="29" bestFit="1" customWidth="1"/>
    <col min="513" max="513" width="24.85546875" bestFit="1" customWidth="1"/>
    <col min="515" max="515" width="13.42578125" bestFit="1" customWidth="1"/>
    <col min="517" max="517" width="29" bestFit="1" customWidth="1"/>
    <col min="769" max="769" width="24.85546875" bestFit="1" customWidth="1"/>
    <col min="771" max="771" width="13.42578125" bestFit="1" customWidth="1"/>
    <col min="773" max="773" width="29" bestFit="1" customWidth="1"/>
    <col min="1025" max="1025" width="24.85546875" bestFit="1" customWidth="1"/>
    <col min="1027" max="1027" width="13.42578125" bestFit="1" customWidth="1"/>
    <col min="1029" max="1029" width="29" bestFit="1" customWidth="1"/>
    <col min="1281" max="1281" width="24.85546875" bestFit="1" customWidth="1"/>
    <col min="1283" max="1283" width="13.42578125" bestFit="1" customWidth="1"/>
    <col min="1285" max="1285" width="29" bestFit="1" customWidth="1"/>
    <col min="1537" max="1537" width="24.85546875" bestFit="1" customWidth="1"/>
    <col min="1539" max="1539" width="13.42578125" bestFit="1" customWidth="1"/>
    <col min="1541" max="1541" width="29" bestFit="1" customWidth="1"/>
    <col min="1793" max="1793" width="24.85546875" bestFit="1" customWidth="1"/>
    <col min="1795" max="1795" width="13.42578125" bestFit="1" customWidth="1"/>
    <col min="1797" max="1797" width="29" bestFit="1" customWidth="1"/>
    <col min="2049" max="2049" width="24.85546875" bestFit="1" customWidth="1"/>
    <col min="2051" max="2051" width="13.42578125" bestFit="1" customWidth="1"/>
    <col min="2053" max="2053" width="29" bestFit="1" customWidth="1"/>
    <col min="2305" max="2305" width="24.85546875" bestFit="1" customWidth="1"/>
    <col min="2307" max="2307" width="13.42578125" bestFit="1" customWidth="1"/>
    <col min="2309" max="2309" width="29" bestFit="1" customWidth="1"/>
    <col min="2561" max="2561" width="24.85546875" bestFit="1" customWidth="1"/>
    <col min="2563" max="2563" width="13.42578125" bestFit="1" customWidth="1"/>
    <col min="2565" max="2565" width="29" bestFit="1" customWidth="1"/>
    <col min="2817" max="2817" width="24.85546875" bestFit="1" customWidth="1"/>
    <col min="2819" max="2819" width="13.42578125" bestFit="1" customWidth="1"/>
    <col min="2821" max="2821" width="29" bestFit="1" customWidth="1"/>
    <col min="3073" max="3073" width="24.85546875" bestFit="1" customWidth="1"/>
    <col min="3075" max="3075" width="13.42578125" bestFit="1" customWidth="1"/>
    <col min="3077" max="3077" width="29" bestFit="1" customWidth="1"/>
    <col min="3329" max="3329" width="24.85546875" bestFit="1" customWidth="1"/>
    <col min="3331" max="3331" width="13.42578125" bestFit="1" customWidth="1"/>
    <col min="3333" max="3333" width="29" bestFit="1" customWidth="1"/>
    <col min="3585" max="3585" width="24.85546875" bestFit="1" customWidth="1"/>
    <col min="3587" max="3587" width="13.42578125" bestFit="1" customWidth="1"/>
    <col min="3589" max="3589" width="29" bestFit="1" customWidth="1"/>
    <col min="3841" max="3841" width="24.85546875" bestFit="1" customWidth="1"/>
    <col min="3843" max="3843" width="13.42578125" bestFit="1" customWidth="1"/>
    <col min="3845" max="3845" width="29" bestFit="1" customWidth="1"/>
    <col min="4097" max="4097" width="24.85546875" bestFit="1" customWidth="1"/>
    <col min="4099" max="4099" width="13.42578125" bestFit="1" customWidth="1"/>
    <col min="4101" max="4101" width="29" bestFit="1" customWidth="1"/>
    <col min="4353" max="4353" width="24.85546875" bestFit="1" customWidth="1"/>
    <col min="4355" max="4355" width="13.42578125" bestFit="1" customWidth="1"/>
    <col min="4357" max="4357" width="29" bestFit="1" customWidth="1"/>
    <col min="4609" max="4609" width="24.85546875" bestFit="1" customWidth="1"/>
    <col min="4611" max="4611" width="13.42578125" bestFit="1" customWidth="1"/>
    <col min="4613" max="4613" width="29" bestFit="1" customWidth="1"/>
    <col min="4865" max="4865" width="24.85546875" bestFit="1" customWidth="1"/>
    <col min="4867" max="4867" width="13.42578125" bestFit="1" customWidth="1"/>
    <col min="4869" max="4869" width="29" bestFit="1" customWidth="1"/>
    <col min="5121" max="5121" width="24.85546875" bestFit="1" customWidth="1"/>
    <col min="5123" max="5123" width="13.42578125" bestFit="1" customWidth="1"/>
    <col min="5125" max="5125" width="29" bestFit="1" customWidth="1"/>
    <col min="5377" max="5377" width="24.85546875" bestFit="1" customWidth="1"/>
    <col min="5379" max="5379" width="13.42578125" bestFit="1" customWidth="1"/>
    <col min="5381" max="5381" width="29" bestFit="1" customWidth="1"/>
    <col min="5633" max="5633" width="24.85546875" bestFit="1" customWidth="1"/>
    <col min="5635" max="5635" width="13.42578125" bestFit="1" customWidth="1"/>
    <col min="5637" max="5637" width="29" bestFit="1" customWidth="1"/>
    <col min="5889" max="5889" width="24.85546875" bestFit="1" customWidth="1"/>
    <col min="5891" max="5891" width="13.42578125" bestFit="1" customWidth="1"/>
    <col min="5893" max="5893" width="29" bestFit="1" customWidth="1"/>
    <col min="6145" max="6145" width="24.85546875" bestFit="1" customWidth="1"/>
    <col min="6147" max="6147" width="13.42578125" bestFit="1" customWidth="1"/>
    <col min="6149" max="6149" width="29" bestFit="1" customWidth="1"/>
    <col min="6401" max="6401" width="24.85546875" bestFit="1" customWidth="1"/>
    <col min="6403" max="6403" width="13.42578125" bestFit="1" customWidth="1"/>
    <col min="6405" max="6405" width="29" bestFit="1" customWidth="1"/>
    <col min="6657" max="6657" width="24.85546875" bestFit="1" customWidth="1"/>
    <col min="6659" max="6659" width="13.42578125" bestFit="1" customWidth="1"/>
    <col min="6661" max="6661" width="29" bestFit="1" customWidth="1"/>
    <col min="6913" max="6913" width="24.85546875" bestFit="1" customWidth="1"/>
    <col min="6915" max="6915" width="13.42578125" bestFit="1" customWidth="1"/>
    <col min="6917" max="6917" width="29" bestFit="1" customWidth="1"/>
    <col min="7169" max="7169" width="24.85546875" bestFit="1" customWidth="1"/>
    <col min="7171" max="7171" width="13.42578125" bestFit="1" customWidth="1"/>
    <col min="7173" max="7173" width="29" bestFit="1" customWidth="1"/>
    <col min="7425" max="7425" width="24.85546875" bestFit="1" customWidth="1"/>
    <col min="7427" max="7427" width="13.42578125" bestFit="1" customWidth="1"/>
    <col min="7429" max="7429" width="29" bestFit="1" customWidth="1"/>
    <col min="7681" max="7681" width="24.85546875" bestFit="1" customWidth="1"/>
    <col min="7683" max="7683" width="13.42578125" bestFit="1" customWidth="1"/>
    <col min="7685" max="7685" width="29" bestFit="1" customWidth="1"/>
    <col min="7937" max="7937" width="24.85546875" bestFit="1" customWidth="1"/>
    <col min="7939" max="7939" width="13.42578125" bestFit="1" customWidth="1"/>
    <col min="7941" max="7941" width="29" bestFit="1" customWidth="1"/>
    <col min="8193" max="8193" width="24.85546875" bestFit="1" customWidth="1"/>
    <col min="8195" max="8195" width="13.42578125" bestFit="1" customWidth="1"/>
    <col min="8197" max="8197" width="29" bestFit="1" customWidth="1"/>
    <col min="8449" max="8449" width="24.85546875" bestFit="1" customWidth="1"/>
    <col min="8451" max="8451" width="13.42578125" bestFit="1" customWidth="1"/>
    <col min="8453" max="8453" width="29" bestFit="1" customWidth="1"/>
    <col min="8705" max="8705" width="24.85546875" bestFit="1" customWidth="1"/>
    <col min="8707" max="8707" width="13.42578125" bestFit="1" customWidth="1"/>
    <col min="8709" max="8709" width="29" bestFit="1" customWidth="1"/>
    <col min="8961" max="8961" width="24.85546875" bestFit="1" customWidth="1"/>
    <col min="8963" max="8963" width="13.42578125" bestFit="1" customWidth="1"/>
    <col min="8965" max="8965" width="29" bestFit="1" customWidth="1"/>
    <col min="9217" max="9217" width="24.85546875" bestFit="1" customWidth="1"/>
    <col min="9219" max="9219" width="13.42578125" bestFit="1" customWidth="1"/>
    <col min="9221" max="9221" width="29" bestFit="1" customWidth="1"/>
    <col min="9473" max="9473" width="24.85546875" bestFit="1" customWidth="1"/>
    <col min="9475" max="9475" width="13.42578125" bestFit="1" customWidth="1"/>
    <col min="9477" max="9477" width="29" bestFit="1" customWidth="1"/>
    <col min="9729" max="9729" width="24.85546875" bestFit="1" customWidth="1"/>
    <col min="9731" max="9731" width="13.42578125" bestFit="1" customWidth="1"/>
    <col min="9733" max="9733" width="29" bestFit="1" customWidth="1"/>
    <col min="9985" max="9985" width="24.85546875" bestFit="1" customWidth="1"/>
    <col min="9987" max="9987" width="13.42578125" bestFit="1" customWidth="1"/>
    <col min="9989" max="9989" width="29" bestFit="1" customWidth="1"/>
    <col min="10241" max="10241" width="24.85546875" bestFit="1" customWidth="1"/>
    <col min="10243" max="10243" width="13.42578125" bestFit="1" customWidth="1"/>
    <col min="10245" max="10245" width="29" bestFit="1" customWidth="1"/>
    <col min="10497" max="10497" width="24.85546875" bestFit="1" customWidth="1"/>
    <col min="10499" max="10499" width="13.42578125" bestFit="1" customWidth="1"/>
    <col min="10501" max="10501" width="29" bestFit="1" customWidth="1"/>
    <col min="10753" max="10753" width="24.85546875" bestFit="1" customWidth="1"/>
    <col min="10755" max="10755" width="13.42578125" bestFit="1" customWidth="1"/>
    <col min="10757" max="10757" width="29" bestFit="1" customWidth="1"/>
    <col min="11009" max="11009" width="24.85546875" bestFit="1" customWidth="1"/>
    <col min="11011" max="11011" width="13.42578125" bestFit="1" customWidth="1"/>
    <col min="11013" max="11013" width="29" bestFit="1" customWidth="1"/>
    <col min="11265" max="11265" width="24.85546875" bestFit="1" customWidth="1"/>
    <col min="11267" max="11267" width="13.42578125" bestFit="1" customWidth="1"/>
    <col min="11269" max="11269" width="29" bestFit="1" customWidth="1"/>
    <col min="11521" max="11521" width="24.85546875" bestFit="1" customWidth="1"/>
    <col min="11523" max="11523" width="13.42578125" bestFit="1" customWidth="1"/>
    <col min="11525" max="11525" width="29" bestFit="1" customWidth="1"/>
    <col min="11777" max="11777" width="24.85546875" bestFit="1" customWidth="1"/>
    <col min="11779" max="11779" width="13.42578125" bestFit="1" customWidth="1"/>
    <col min="11781" max="11781" width="29" bestFit="1" customWidth="1"/>
    <col min="12033" max="12033" width="24.85546875" bestFit="1" customWidth="1"/>
    <col min="12035" max="12035" width="13.42578125" bestFit="1" customWidth="1"/>
    <col min="12037" max="12037" width="29" bestFit="1" customWidth="1"/>
    <col min="12289" max="12289" width="24.85546875" bestFit="1" customWidth="1"/>
    <col min="12291" max="12291" width="13.42578125" bestFit="1" customWidth="1"/>
    <col min="12293" max="12293" width="29" bestFit="1" customWidth="1"/>
    <col min="12545" max="12545" width="24.85546875" bestFit="1" customWidth="1"/>
    <col min="12547" max="12547" width="13.42578125" bestFit="1" customWidth="1"/>
    <col min="12549" max="12549" width="29" bestFit="1" customWidth="1"/>
    <col min="12801" max="12801" width="24.85546875" bestFit="1" customWidth="1"/>
    <col min="12803" max="12803" width="13.42578125" bestFit="1" customWidth="1"/>
    <col min="12805" max="12805" width="29" bestFit="1" customWidth="1"/>
    <col min="13057" max="13057" width="24.85546875" bestFit="1" customWidth="1"/>
    <col min="13059" max="13059" width="13.42578125" bestFit="1" customWidth="1"/>
    <col min="13061" max="13061" width="29" bestFit="1" customWidth="1"/>
    <col min="13313" max="13313" width="24.85546875" bestFit="1" customWidth="1"/>
    <col min="13315" max="13315" width="13.42578125" bestFit="1" customWidth="1"/>
    <col min="13317" max="13317" width="29" bestFit="1" customWidth="1"/>
    <col min="13569" max="13569" width="24.85546875" bestFit="1" customWidth="1"/>
    <col min="13571" max="13571" width="13.42578125" bestFit="1" customWidth="1"/>
    <col min="13573" max="13573" width="29" bestFit="1" customWidth="1"/>
    <col min="13825" max="13825" width="24.85546875" bestFit="1" customWidth="1"/>
    <col min="13827" max="13827" width="13.42578125" bestFit="1" customWidth="1"/>
    <col min="13829" max="13829" width="29" bestFit="1" customWidth="1"/>
    <col min="14081" max="14081" width="24.85546875" bestFit="1" customWidth="1"/>
    <col min="14083" max="14083" width="13.42578125" bestFit="1" customWidth="1"/>
    <col min="14085" max="14085" width="29" bestFit="1" customWidth="1"/>
    <col min="14337" max="14337" width="24.85546875" bestFit="1" customWidth="1"/>
    <col min="14339" max="14339" width="13.42578125" bestFit="1" customWidth="1"/>
    <col min="14341" max="14341" width="29" bestFit="1" customWidth="1"/>
    <col min="14593" max="14593" width="24.85546875" bestFit="1" customWidth="1"/>
    <col min="14595" max="14595" width="13.42578125" bestFit="1" customWidth="1"/>
    <col min="14597" max="14597" width="29" bestFit="1" customWidth="1"/>
    <col min="14849" max="14849" width="24.85546875" bestFit="1" customWidth="1"/>
    <col min="14851" max="14851" width="13.42578125" bestFit="1" customWidth="1"/>
    <col min="14853" max="14853" width="29" bestFit="1" customWidth="1"/>
    <col min="15105" max="15105" width="24.85546875" bestFit="1" customWidth="1"/>
    <col min="15107" max="15107" width="13.42578125" bestFit="1" customWidth="1"/>
    <col min="15109" max="15109" width="29" bestFit="1" customWidth="1"/>
    <col min="15361" max="15361" width="24.85546875" bestFit="1" customWidth="1"/>
    <col min="15363" max="15363" width="13.42578125" bestFit="1" customWidth="1"/>
    <col min="15365" max="15365" width="29" bestFit="1" customWidth="1"/>
    <col min="15617" max="15617" width="24.85546875" bestFit="1" customWidth="1"/>
    <col min="15619" max="15619" width="13.42578125" bestFit="1" customWidth="1"/>
    <col min="15621" max="15621" width="29" bestFit="1" customWidth="1"/>
    <col min="15873" max="15873" width="24.85546875" bestFit="1" customWidth="1"/>
    <col min="15875" max="15875" width="13.42578125" bestFit="1" customWidth="1"/>
    <col min="15877" max="15877" width="29" bestFit="1" customWidth="1"/>
    <col min="16129" max="16129" width="24.85546875" bestFit="1" customWidth="1"/>
    <col min="16131" max="16131" width="13.42578125" bestFit="1" customWidth="1"/>
    <col min="16133" max="16133" width="29" bestFit="1" customWidth="1"/>
  </cols>
  <sheetData>
    <row r="1" spans="1:6" ht="18" x14ac:dyDescent="0.25">
      <c r="A1" s="30"/>
      <c r="B1" s="30"/>
      <c r="C1" s="30"/>
      <c r="D1" s="30"/>
      <c r="E1" s="30"/>
    </row>
    <row r="2" spans="1:6" x14ac:dyDescent="0.25">
      <c r="A2" s="1"/>
      <c r="B2" s="31" t="s">
        <v>0</v>
      </c>
      <c r="C2" s="31" t="s">
        <v>1</v>
      </c>
      <c r="D2" s="32" t="s">
        <v>53</v>
      </c>
      <c r="E2" s="33" t="s">
        <v>54</v>
      </c>
    </row>
    <row r="3" spans="1:6" x14ac:dyDescent="0.25">
      <c r="A3" s="1" t="s">
        <v>2</v>
      </c>
      <c r="B3" s="34"/>
      <c r="C3" s="34">
        <v>178000</v>
      </c>
      <c r="D3" s="14"/>
      <c r="E3" s="1"/>
    </row>
    <row r="4" spans="1:6" x14ac:dyDescent="0.25">
      <c r="A4" s="35" t="s">
        <v>55</v>
      </c>
      <c r="B4" s="36"/>
      <c r="C4" s="36"/>
      <c r="D4" s="32" t="s">
        <v>56</v>
      </c>
      <c r="E4" s="37" t="s">
        <v>57</v>
      </c>
    </row>
    <row r="5" spans="1:6" x14ac:dyDescent="0.25">
      <c r="A5" s="35" t="s">
        <v>58</v>
      </c>
      <c r="B5" s="36"/>
      <c r="C5" s="38">
        <f>B14-B18</f>
        <v>28000</v>
      </c>
      <c r="D5" s="39"/>
      <c r="E5" s="40" t="s">
        <v>59</v>
      </c>
    </row>
    <row r="6" spans="1:6" x14ac:dyDescent="0.25">
      <c r="A6" s="35" t="s">
        <v>60</v>
      </c>
      <c r="B6" s="36"/>
      <c r="C6" s="38">
        <f>F14-F19</f>
        <v>14000</v>
      </c>
      <c r="D6" s="39"/>
      <c r="E6" s="41" t="s">
        <v>61</v>
      </c>
    </row>
    <row r="7" spans="1:6" x14ac:dyDescent="0.25">
      <c r="A7" s="35" t="s">
        <v>62</v>
      </c>
      <c r="B7" s="36"/>
      <c r="C7" s="36"/>
      <c r="D7" s="32" t="s">
        <v>56</v>
      </c>
      <c r="E7" s="42" t="s">
        <v>63</v>
      </c>
    </row>
    <row r="8" spans="1:6" x14ac:dyDescent="0.25">
      <c r="A8" s="1" t="s">
        <v>9</v>
      </c>
      <c r="B8" s="34">
        <f>SUM(B3:B6)</f>
        <v>0</v>
      </c>
      <c r="C8" s="34">
        <f>SUM(C3:C7)</f>
        <v>220000</v>
      </c>
      <c r="D8" s="14"/>
      <c r="E8" s="1"/>
    </row>
    <row r="9" spans="1:6" x14ac:dyDescent="0.25">
      <c r="A9" s="33" t="s">
        <v>47</v>
      </c>
      <c r="B9" s="43"/>
      <c r="C9" s="43">
        <f>C8-B8</f>
        <v>220000</v>
      </c>
      <c r="D9" s="14"/>
      <c r="E9" s="26"/>
    </row>
    <row r="10" spans="1:6" ht="6.6" customHeight="1" x14ac:dyDescent="0.25"/>
    <row r="11" spans="1:6" x14ac:dyDescent="0.25">
      <c r="A11" s="44" t="s">
        <v>64</v>
      </c>
      <c r="B11" s="44"/>
      <c r="E11" s="45" t="s">
        <v>65</v>
      </c>
      <c r="F11" s="45"/>
    </row>
    <row r="12" spans="1:6" x14ac:dyDescent="0.25">
      <c r="A12" s="46"/>
      <c r="B12" s="46"/>
      <c r="E12" s="47"/>
      <c r="F12" s="47"/>
    </row>
    <row r="13" spans="1:6" x14ac:dyDescent="0.25">
      <c r="A13" s="48" t="s">
        <v>66</v>
      </c>
      <c r="B13" s="49">
        <v>15000</v>
      </c>
      <c r="E13" s="50" t="s">
        <v>67</v>
      </c>
      <c r="F13" s="51">
        <v>20000</v>
      </c>
    </row>
    <row r="14" spans="1:6" x14ac:dyDescent="0.25">
      <c r="A14" s="48" t="s">
        <v>68</v>
      </c>
      <c r="B14" s="49">
        <v>35000</v>
      </c>
      <c r="E14" s="50" t="s">
        <v>68</v>
      </c>
      <c r="F14" s="51">
        <v>55000</v>
      </c>
    </row>
    <row r="15" spans="1:6" x14ac:dyDescent="0.25">
      <c r="A15" s="46"/>
      <c r="B15" s="46"/>
      <c r="E15" s="47"/>
      <c r="F15" s="47"/>
    </row>
    <row r="16" spans="1:6" x14ac:dyDescent="0.25">
      <c r="A16" s="48" t="s">
        <v>69</v>
      </c>
      <c r="B16" s="46"/>
      <c r="E16" s="50" t="s">
        <v>69</v>
      </c>
      <c r="F16" s="47"/>
    </row>
    <row r="17" spans="1:6" x14ac:dyDescent="0.25">
      <c r="A17" s="48" t="s">
        <v>70</v>
      </c>
      <c r="B17" s="49">
        <f>35000*0.2</f>
        <v>7000</v>
      </c>
      <c r="E17" s="50" t="s">
        <v>71</v>
      </c>
      <c r="F17" s="52">
        <f>F13</f>
        <v>20000</v>
      </c>
    </row>
    <row r="18" spans="1:6" x14ac:dyDescent="0.25">
      <c r="A18" s="53" t="s">
        <v>72</v>
      </c>
      <c r="B18" s="54">
        <f>B17</f>
        <v>7000</v>
      </c>
      <c r="E18" s="50" t="s">
        <v>73</v>
      </c>
      <c r="F18" s="51">
        <f>(F14-F13)*0.6</f>
        <v>21000</v>
      </c>
    </row>
    <row r="19" spans="1:6" x14ac:dyDescent="0.25">
      <c r="E19" s="55" t="s">
        <v>72</v>
      </c>
      <c r="F19" s="56">
        <f>F17+F18</f>
        <v>41000</v>
      </c>
    </row>
    <row r="23" spans="1:6" x14ac:dyDescent="0.25">
      <c r="A23" s="57" t="s">
        <v>74</v>
      </c>
      <c r="B23" s="57"/>
    </row>
    <row r="24" spans="1:6" x14ac:dyDescent="0.25">
      <c r="A24" s="58"/>
      <c r="B24" s="58"/>
    </row>
    <row r="25" spans="1:6" x14ac:dyDescent="0.25">
      <c r="A25" s="59" t="s">
        <v>67</v>
      </c>
      <c r="B25" s="60">
        <v>120000</v>
      </c>
    </row>
    <row r="26" spans="1:6" x14ac:dyDescent="0.25">
      <c r="A26" s="59" t="s">
        <v>68</v>
      </c>
      <c r="B26" s="60">
        <v>40000</v>
      </c>
    </row>
    <row r="27" spans="1:6" x14ac:dyDescent="0.25">
      <c r="A27" s="58"/>
      <c r="B27" s="58"/>
    </row>
    <row r="28" spans="1:6" x14ac:dyDescent="0.25">
      <c r="A28" s="59" t="s">
        <v>69</v>
      </c>
      <c r="B28" s="58"/>
    </row>
    <row r="29" spans="1:6" x14ac:dyDescent="0.25">
      <c r="A29" s="59" t="s">
        <v>71</v>
      </c>
      <c r="B29" s="60">
        <v>40000</v>
      </c>
    </row>
    <row r="30" spans="1:6" x14ac:dyDescent="0.25">
      <c r="A30" s="61" t="s">
        <v>72</v>
      </c>
      <c r="B30" s="62">
        <f>B29</f>
        <v>40000</v>
      </c>
    </row>
  </sheetData>
  <mergeCells count="3">
    <mergeCell ref="A11:B11"/>
    <mergeCell ref="E11:F11"/>
    <mergeCell ref="A23:B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C1C1C-9D70-4DA8-BCAA-6C7EC62A7060}">
  <dimension ref="A2:G17"/>
  <sheetViews>
    <sheetView showGridLines="0" zoomScale="160" zoomScaleNormal="160" workbookViewId="0">
      <selection activeCell="G16" sqref="G16"/>
    </sheetView>
  </sheetViews>
  <sheetFormatPr baseColWidth="10" defaultRowHeight="15" x14ac:dyDescent="0.25"/>
  <cols>
    <col min="1" max="1" width="23.28515625" bestFit="1" customWidth="1"/>
    <col min="2" max="2" width="14.85546875" bestFit="1" customWidth="1"/>
    <col min="3" max="3" width="23.28515625" customWidth="1"/>
    <col min="4" max="4" width="12.28515625" bestFit="1" customWidth="1"/>
    <col min="6" max="6" width="14.7109375" customWidth="1"/>
    <col min="7" max="7" width="10.28515625" customWidth="1"/>
    <col min="8" max="8" width="15" customWidth="1"/>
    <col min="257" max="257" width="23.28515625" bestFit="1" customWidth="1"/>
    <col min="258" max="258" width="14.85546875" bestFit="1" customWidth="1"/>
    <col min="259" max="260" width="12.28515625" bestFit="1" customWidth="1"/>
    <col min="262" max="262" width="5.140625" bestFit="1" customWidth="1"/>
    <col min="263" max="263" width="4.5703125" bestFit="1" customWidth="1"/>
    <col min="264" max="264" width="5.140625" bestFit="1" customWidth="1"/>
    <col min="513" max="513" width="23.28515625" bestFit="1" customWidth="1"/>
    <col min="514" max="514" width="14.85546875" bestFit="1" customWidth="1"/>
    <col min="515" max="516" width="12.28515625" bestFit="1" customWidth="1"/>
    <col min="518" max="518" width="5.140625" bestFit="1" customWidth="1"/>
    <col min="519" max="519" width="4.5703125" bestFit="1" customWidth="1"/>
    <col min="520" max="520" width="5.140625" bestFit="1" customWidth="1"/>
    <col min="769" max="769" width="23.28515625" bestFit="1" customWidth="1"/>
    <col min="770" max="770" width="14.85546875" bestFit="1" customWidth="1"/>
    <col min="771" max="772" width="12.28515625" bestFit="1" customWidth="1"/>
    <col min="774" max="774" width="5.140625" bestFit="1" customWidth="1"/>
    <col min="775" max="775" width="4.5703125" bestFit="1" customWidth="1"/>
    <col min="776" max="776" width="5.140625" bestFit="1" customWidth="1"/>
    <col min="1025" max="1025" width="23.28515625" bestFit="1" customWidth="1"/>
    <col min="1026" max="1026" width="14.85546875" bestFit="1" customWidth="1"/>
    <col min="1027" max="1028" width="12.28515625" bestFit="1" customWidth="1"/>
    <col min="1030" max="1030" width="5.140625" bestFit="1" customWidth="1"/>
    <col min="1031" max="1031" width="4.5703125" bestFit="1" customWidth="1"/>
    <col min="1032" max="1032" width="5.140625" bestFit="1" customWidth="1"/>
    <col min="1281" max="1281" width="23.28515625" bestFit="1" customWidth="1"/>
    <col min="1282" max="1282" width="14.85546875" bestFit="1" customWidth="1"/>
    <col min="1283" max="1284" width="12.28515625" bestFit="1" customWidth="1"/>
    <col min="1286" max="1286" width="5.140625" bestFit="1" customWidth="1"/>
    <col min="1287" max="1287" width="4.5703125" bestFit="1" customWidth="1"/>
    <col min="1288" max="1288" width="5.140625" bestFit="1" customWidth="1"/>
    <col min="1537" max="1537" width="23.28515625" bestFit="1" customWidth="1"/>
    <col min="1538" max="1538" width="14.85546875" bestFit="1" customWidth="1"/>
    <col min="1539" max="1540" width="12.28515625" bestFit="1" customWidth="1"/>
    <col min="1542" max="1542" width="5.140625" bestFit="1" customWidth="1"/>
    <col min="1543" max="1543" width="4.5703125" bestFit="1" customWidth="1"/>
    <col min="1544" max="1544" width="5.140625" bestFit="1" customWidth="1"/>
    <col min="1793" max="1793" width="23.28515625" bestFit="1" customWidth="1"/>
    <col min="1794" max="1794" width="14.85546875" bestFit="1" customWidth="1"/>
    <col min="1795" max="1796" width="12.28515625" bestFit="1" customWidth="1"/>
    <col min="1798" max="1798" width="5.140625" bestFit="1" customWidth="1"/>
    <col min="1799" max="1799" width="4.5703125" bestFit="1" customWidth="1"/>
    <col min="1800" max="1800" width="5.140625" bestFit="1" customWidth="1"/>
    <col min="2049" max="2049" width="23.28515625" bestFit="1" customWidth="1"/>
    <col min="2050" max="2050" width="14.85546875" bestFit="1" customWidth="1"/>
    <col min="2051" max="2052" width="12.28515625" bestFit="1" customWidth="1"/>
    <col min="2054" max="2054" width="5.140625" bestFit="1" customWidth="1"/>
    <col min="2055" max="2055" width="4.5703125" bestFit="1" customWidth="1"/>
    <col min="2056" max="2056" width="5.140625" bestFit="1" customWidth="1"/>
    <col min="2305" max="2305" width="23.28515625" bestFit="1" customWidth="1"/>
    <col min="2306" max="2306" width="14.85546875" bestFit="1" customWidth="1"/>
    <col min="2307" max="2308" width="12.28515625" bestFit="1" customWidth="1"/>
    <col min="2310" max="2310" width="5.140625" bestFit="1" customWidth="1"/>
    <col min="2311" max="2311" width="4.5703125" bestFit="1" customWidth="1"/>
    <col min="2312" max="2312" width="5.140625" bestFit="1" customWidth="1"/>
    <col min="2561" max="2561" width="23.28515625" bestFit="1" customWidth="1"/>
    <col min="2562" max="2562" width="14.85546875" bestFit="1" customWidth="1"/>
    <col min="2563" max="2564" width="12.28515625" bestFit="1" customWidth="1"/>
    <col min="2566" max="2566" width="5.140625" bestFit="1" customWidth="1"/>
    <col min="2567" max="2567" width="4.5703125" bestFit="1" customWidth="1"/>
    <col min="2568" max="2568" width="5.140625" bestFit="1" customWidth="1"/>
    <col min="2817" max="2817" width="23.28515625" bestFit="1" customWidth="1"/>
    <col min="2818" max="2818" width="14.85546875" bestFit="1" customWidth="1"/>
    <col min="2819" max="2820" width="12.28515625" bestFit="1" customWidth="1"/>
    <col min="2822" max="2822" width="5.140625" bestFit="1" customWidth="1"/>
    <col min="2823" max="2823" width="4.5703125" bestFit="1" customWidth="1"/>
    <col min="2824" max="2824" width="5.140625" bestFit="1" customWidth="1"/>
    <col min="3073" max="3073" width="23.28515625" bestFit="1" customWidth="1"/>
    <col min="3074" max="3074" width="14.85546875" bestFit="1" customWidth="1"/>
    <col min="3075" max="3076" width="12.28515625" bestFit="1" customWidth="1"/>
    <col min="3078" max="3078" width="5.140625" bestFit="1" customWidth="1"/>
    <col min="3079" max="3079" width="4.5703125" bestFit="1" customWidth="1"/>
    <col min="3080" max="3080" width="5.140625" bestFit="1" customWidth="1"/>
    <col min="3329" max="3329" width="23.28515625" bestFit="1" customWidth="1"/>
    <col min="3330" max="3330" width="14.85546875" bestFit="1" customWidth="1"/>
    <col min="3331" max="3332" width="12.28515625" bestFit="1" customWidth="1"/>
    <col min="3334" max="3334" width="5.140625" bestFit="1" customWidth="1"/>
    <col min="3335" max="3335" width="4.5703125" bestFit="1" customWidth="1"/>
    <col min="3336" max="3336" width="5.140625" bestFit="1" customWidth="1"/>
    <col min="3585" max="3585" width="23.28515625" bestFit="1" customWidth="1"/>
    <col min="3586" max="3586" width="14.85546875" bestFit="1" customWidth="1"/>
    <col min="3587" max="3588" width="12.28515625" bestFit="1" customWidth="1"/>
    <col min="3590" max="3590" width="5.140625" bestFit="1" customWidth="1"/>
    <col min="3591" max="3591" width="4.5703125" bestFit="1" customWidth="1"/>
    <col min="3592" max="3592" width="5.140625" bestFit="1" customWidth="1"/>
    <col min="3841" max="3841" width="23.28515625" bestFit="1" customWidth="1"/>
    <col min="3842" max="3842" width="14.85546875" bestFit="1" customWidth="1"/>
    <col min="3843" max="3844" width="12.28515625" bestFit="1" customWidth="1"/>
    <col min="3846" max="3846" width="5.140625" bestFit="1" customWidth="1"/>
    <col min="3847" max="3847" width="4.5703125" bestFit="1" customWidth="1"/>
    <col min="3848" max="3848" width="5.140625" bestFit="1" customWidth="1"/>
    <col min="4097" max="4097" width="23.28515625" bestFit="1" customWidth="1"/>
    <col min="4098" max="4098" width="14.85546875" bestFit="1" customWidth="1"/>
    <col min="4099" max="4100" width="12.28515625" bestFit="1" customWidth="1"/>
    <col min="4102" max="4102" width="5.140625" bestFit="1" customWidth="1"/>
    <col min="4103" max="4103" width="4.5703125" bestFit="1" customWidth="1"/>
    <col min="4104" max="4104" width="5.140625" bestFit="1" customWidth="1"/>
    <col min="4353" max="4353" width="23.28515625" bestFit="1" customWidth="1"/>
    <col min="4354" max="4354" width="14.85546875" bestFit="1" customWidth="1"/>
    <col min="4355" max="4356" width="12.28515625" bestFit="1" customWidth="1"/>
    <col min="4358" max="4358" width="5.140625" bestFit="1" customWidth="1"/>
    <col min="4359" max="4359" width="4.5703125" bestFit="1" customWidth="1"/>
    <col min="4360" max="4360" width="5.140625" bestFit="1" customWidth="1"/>
    <col min="4609" max="4609" width="23.28515625" bestFit="1" customWidth="1"/>
    <col min="4610" max="4610" width="14.85546875" bestFit="1" customWidth="1"/>
    <col min="4611" max="4612" width="12.28515625" bestFit="1" customWidth="1"/>
    <col min="4614" max="4614" width="5.140625" bestFit="1" customWidth="1"/>
    <col min="4615" max="4615" width="4.5703125" bestFit="1" customWidth="1"/>
    <col min="4616" max="4616" width="5.140625" bestFit="1" customWidth="1"/>
    <col min="4865" max="4865" width="23.28515625" bestFit="1" customWidth="1"/>
    <col min="4866" max="4866" width="14.85546875" bestFit="1" customWidth="1"/>
    <col min="4867" max="4868" width="12.28515625" bestFit="1" customWidth="1"/>
    <col min="4870" max="4870" width="5.140625" bestFit="1" customWidth="1"/>
    <col min="4871" max="4871" width="4.5703125" bestFit="1" customWidth="1"/>
    <col min="4872" max="4872" width="5.140625" bestFit="1" customWidth="1"/>
    <col min="5121" max="5121" width="23.28515625" bestFit="1" customWidth="1"/>
    <col min="5122" max="5122" width="14.85546875" bestFit="1" customWidth="1"/>
    <col min="5123" max="5124" width="12.28515625" bestFit="1" customWidth="1"/>
    <col min="5126" max="5126" width="5.140625" bestFit="1" customWidth="1"/>
    <col min="5127" max="5127" width="4.5703125" bestFit="1" customWidth="1"/>
    <col min="5128" max="5128" width="5.140625" bestFit="1" customWidth="1"/>
    <col min="5377" max="5377" width="23.28515625" bestFit="1" customWidth="1"/>
    <col min="5378" max="5378" width="14.85546875" bestFit="1" customWidth="1"/>
    <col min="5379" max="5380" width="12.28515625" bestFit="1" customWidth="1"/>
    <col min="5382" max="5382" width="5.140625" bestFit="1" customWidth="1"/>
    <col min="5383" max="5383" width="4.5703125" bestFit="1" customWidth="1"/>
    <col min="5384" max="5384" width="5.140625" bestFit="1" customWidth="1"/>
    <col min="5633" max="5633" width="23.28515625" bestFit="1" customWidth="1"/>
    <col min="5634" max="5634" width="14.85546875" bestFit="1" customWidth="1"/>
    <col min="5635" max="5636" width="12.28515625" bestFit="1" customWidth="1"/>
    <col min="5638" max="5638" width="5.140625" bestFit="1" customWidth="1"/>
    <col min="5639" max="5639" width="4.5703125" bestFit="1" customWidth="1"/>
    <col min="5640" max="5640" width="5.140625" bestFit="1" customWidth="1"/>
    <col min="5889" max="5889" width="23.28515625" bestFit="1" customWidth="1"/>
    <col min="5890" max="5890" width="14.85546875" bestFit="1" customWidth="1"/>
    <col min="5891" max="5892" width="12.28515625" bestFit="1" customWidth="1"/>
    <col min="5894" max="5894" width="5.140625" bestFit="1" customWidth="1"/>
    <col min="5895" max="5895" width="4.5703125" bestFit="1" customWidth="1"/>
    <col min="5896" max="5896" width="5.140625" bestFit="1" customWidth="1"/>
    <col min="6145" max="6145" width="23.28515625" bestFit="1" customWidth="1"/>
    <col min="6146" max="6146" width="14.85546875" bestFit="1" customWidth="1"/>
    <col min="6147" max="6148" width="12.28515625" bestFit="1" customWidth="1"/>
    <col min="6150" max="6150" width="5.140625" bestFit="1" customWidth="1"/>
    <col min="6151" max="6151" width="4.5703125" bestFit="1" customWidth="1"/>
    <col min="6152" max="6152" width="5.140625" bestFit="1" customWidth="1"/>
    <col min="6401" max="6401" width="23.28515625" bestFit="1" customWidth="1"/>
    <col min="6402" max="6402" width="14.85546875" bestFit="1" customWidth="1"/>
    <col min="6403" max="6404" width="12.28515625" bestFit="1" customWidth="1"/>
    <col min="6406" max="6406" width="5.140625" bestFit="1" customWidth="1"/>
    <col min="6407" max="6407" width="4.5703125" bestFit="1" customWidth="1"/>
    <col min="6408" max="6408" width="5.140625" bestFit="1" customWidth="1"/>
    <col min="6657" max="6657" width="23.28515625" bestFit="1" customWidth="1"/>
    <col min="6658" max="6658" width="14.85546875" bestFit="1" customWidth="1"/>
    <col min="6659" max="6660" width="12.28515625" bestFit="1" customWidth="1"/>
    <col min="6662" max="6662" width="5.140625" bestFit="1" customWidth="1"/>
    <col min="6663" max="6663" width="4.5703125" bestFit="1" customWidth="1"/>
    <col min="6664" max="6664" width="5.140625" bestFit="1" customWidth="1"/>
    <col min="6913" max="6913" width="23.28515625" bestFit="1" customWidth="1"/>
    <col min="6914" max="6914" width="14.85546875" bestFit="1" customWidth="1"/>
    <col min="6915" max="6916" width="12.28515625" bestFit="1" customWidth="1"/>
    <col min="6918" max="6918" width="5.140625" bestFit="1" customWidth="1"/>
    <col min="6919" max="6919" width="4.5703125" bestFit="1" customWidth="1"/>
    <col min="6920" max="6920" width="5.140625" bestFit="1" customWidth="1"/>
    <col min="7169" max="7169" width="23.28515625" bestFit="1" customWidth="1"/>
    <col min="7170" max="7170" width="14.85546875" bestFit="1" customWidth="1"/>
    <col min="7171" max="7172" width="12.28515625" bestFit="1" customWidth="1"/>
    <col min="7174" max="7174" width="5.140625" bestFit="1" customWidth="1"/>
    <col min="7175" max="7175" width="4.5703125" bestFit="1" customWidth="1"/>
    <col min="7176" max="7176" width="5.140625" bestFit="1" customWidth="1"/>
    <col min="7425" max="7425" width="23.28515625" bestFit="1" customWidth="1"/>
    <col min="7426" max="7426" width="14.85546875" bestFit="1" customWidth="1"/>
    <col min="7427" max="7428" width="12.28515625" bestFit="1" customWidth="1"/>
    <col min="7430" max="7430" width="5.140625" bestFit="1" customWidth="1"/>
    <col min="7431" max="7431" width="4.5703125" bestFit="1" customWidth="1"/>
    <col min="7432" max="7432" width="5.140625" bestFit="1" customWidth="1"/>
    <col min="7681" max="7681" width="23.28515625" bestFit="1" customWidth="1"/>
    <col min="7682" max="7682" width="14.85546875" bestFit="1" customWidth="1"/>
    <col min="7683" max="7684" width="12.28515625" bestFit="1" customWidth="1"/>
    <col min="7686" max="7686" width="5.140625" bestFit="1" customWidth="1"/>
    <col min="7687" max="7687" width="4.5703125" bestFit="1" customWidth="1"/>
    <col min="7688" max="7688" width="5.140625" bestFit="1" customWidth="1"/>
    <col min="7937" max="7937" width="23.28515625" bestFit="1" customWidth="1"/>
    <col min="7938" max="7938" width="14.85546875" bestFit="1" customWidth="1"/>
    <col min="7939" max="7940" width="12.28515625" bestFit="1" customWidth="1"/>
    <col min="7942" max="7942" width="5.140625" bestFit="1" customWidth="1"/>
    <col min="7943" max="7943" width="4.5703125" bestFit="1" customWidth="1"/>
    <col min="7944" max="7944" width="5.140625" bestFit="1" customWidth="1"/>
    <col min="8193" max="8193" width="23.28515625" bestFit="1" customWidth="1"/>
    <col min="8194" max="8194" width="14.85546875" bestFit="1" customWidth="1"/>
    <col min="8195" max="8196" width="12.28515625" bestFit="1" customWidth="1"/>
    <col min="8198" max="8198" width="5.140625" bestFit="1" customWidth="1"/>
    <col min="8199" max="8199" width="4.5703125" bestFit="1" customWidth="1"/>
    <col min="8200" max="8200" width="5.140625" bestFit="1" customWidth="1"/>
    <col min="8449" max="8449" width="23.28515625" bestFit="1" customWidth="1"/>
    <col min="8450" max="8450" width="14.85546875" bestFit="1" customWidth="1"/>
    <col min="8451" max="8452" width="12.28515625" bestFit="1" customWidth="1"/>
    <col min="8454" max="8454" width="5.140625" bestFit="1" customWidth="1"/>
    <col min="8455" max="8455" width="4.5703125" bestFit="1" customWidth="1"/>
    <col min="8456" max="8456" width="5.140625" bestFit="1" customWidth="1"/>
    <col min="8705" max="8705" width="23.28515625" bestFit="1" customWidth="1"/>
    <col min="8706" max="8706" width="14.85546875" bestFit="1" customWidth="1"/>
    <col min="8707" max="8708" width="12.28515625" bestFit="1" customWidth="1"/>
    <col min="8710" max="8710" width="5.140625" bestFit="1" customWidth="1"/>
    <col min="8711" max="8711" width="4.5703125" bestFit="1" customWidth="1"/>
    <col min="8712" max="8712" width="5.140625" bestFit="1" customWidth="1"/>
    <col min="8961" max="8961" width="23.28515625" bestFit="1" customWidth="1"/>
    <col min="8962" max="8962" width="14.85546875" bestFit="1" customWidth="1"/>
    <col min="8963" max="8964" width="12.28515625" bestFit="1" customWidth="1"/>
    <col min="8966" max="8966" width="5.140625" bestFit="1" customWidth="1"/>
    <col min="8967" max="8967" width="4.5703125" bestFit="1" customWidth="1"/>
    <col min="8968" max="8968" width="5.140625" bestFit="1" customWidth="1"/>
    <col min="9217" max="9217" width="23.28515625" bestFit="1" customWidth="1"/>
    <col min="9218" max="9218" width="14.85546875" bestFit="1" customWidth="1"/>
    <col min="9219" max="9220" width="12.28515625" bestFit="1" customWidth="1"/>
    <col min="9222" max="9222" width="5.140625" bestFit="1" customWidth="1"/>
    <col min="9223" max="9223" width="4.5703125" bestFit="1" customWidth="1"/>
    <col min="9224" max="9224" width="5.140625" bestFit="1" customWidth="1"/>
    <col min="9473" max="9473" width="23.28515625" bestFit="1" customWidth="1"/>
    <col min="9474" max="9474" width="14.85546875" bestFit="1" customWidth="1"/>
    <col min="9475" max="9476" width="12.28515625" bestFit="1" customWidth="1"/>
    <col min="9478" max="9478" width="5.140625" bestFit="1" customWidth="1"/>
    <col min="9479" max="9479" width="4.5703125" bestFit="1" customWidth="1"/>
    <col min="9480" max="9480" width="5.140625" bestFit="1" customWidth="1"/>
    <col min="9729" max="9729" width="23.28515625" bestFit="1" customWidth="1"/>
    <col min="9730" max="9730" width="14.85546875" bestFit="1" customWidth="1"/>
    <col min="9731" max="9732" width="12.28515625" bestFit="1" customWidth="1"/>
    <col min="9734" max="9734" width="5.140625" bestFit="1" customWidth="1"/>
    <col min="9735" max="9735" width="4.5703125" bestFit="1" customWidth="1"/>
    <col min="9736" max="9736" width="5.140625" bestFit="1" customWidth="1"/>
    <col min="9985" max="9985" width="23.28515625" bestFit="1" customWidth="1"/>
    <col min="9986" max="9986" width="14.85546875" bestFit="1" customWidth="1"/>
    <col min="9987" max="9988" width="12.28515625" bestFit="1" customWidth="1"/>
    <col min="9990" max="9990" width="5.140625" bestFit="1" customWidth="1"/>
    <col min="9991" max="9991" width="4.5703125" bestFit="1" customWidth="1"/>
    <col min="9992" max="9992" width="5.140625" bestFit="1" customWidth="1"/>
    <col min="10241" max="10241" width="23.28515625" bestFit="1" customWidth="1"/>
    <col min="10242" max="10242" width="14.85546875" bestFit="1" customWidth="1"/>
    <col min="10243" max="10244" width="12.28515625" bestFit="1" customWidth="1"/>
    <col min="10246" max="10246" width="5.140625" bestFit="1" customWidth="1"/>
    <col min="10247" max="10247" width="4.5703125" bestFit="1" customWidth="1"/>
    <col min="10248" max="10248" width="5.140625" bestFit="1" customWidth="1"/>
    <col min="10497" max="10497" width="23.28515625" bestFit="1" customWidth="1"/>
    <col min="10498" max="10498" width="14.85546875" bestFit="1" customWidth="1"/>
    <col min="10499" max="10500" width="12.28515625" bestFit="1" customWidth="1"/>
    <col min="10502" max="10502" width="5.140625" bestFit="1" customWidth="1"/>
    <col min="10503" max="10503" width="4.5703125" bestFit="1" customWidth="1"/>
    <col min="10504" max="10504" width="5.140625" bestFit="1" customWidth="1"/>
    <col min="10753" max="10753" width="23.28515625" bestFit="1" customWidth="1"/>
    <col min="10754" max="10754" width="14.85546875" bestFit="1" customWidth="1"/>
    <col min="10755" max="10756" width="12.28515625" bestFit="1" customWidth="1"/>
    <col min="10758" max="10758" width="5.140625" bestFit="1" customWidth="1"/>
    <col min="10759" max="10759" width="4.5703125" bestFit="1" customWidth="1"/>
    <col min="10760" max="10760" width="5.140625" bestFit="1" customWidth="1"/>
    <col min="11009" max="11009" width="23.28515625" bestFit="1" customWidth="1"/>
    <col min="11010" max="11010" width="14.85546875" bestFit="1" customWidth="1"/>
    <col min="11011" max="11012" width="12.28515625" bestFit="1" customWidth="1"/>
    <col min="11014" max="11014" width="5.140625" bestFit="1" customWidth="1"/>
    <col min="11015" max="11015" width="4.5703125" bestFit="1" customWidth="1"/>
    <col min="11016" max="11016" width="5.140625" bestFit="1" customWidth="1"/>
    <col min="11265" max="11265" width="23.28515625" bestFit="1" customWidth="1"/>
    <col min="11266" max="11266" width="14.85546875" bestFit="1" customWidth="1"/>
    <col min="11267" max="11268" width="12.28515625" bestFit="1" customWidth="1"/>
    <col min="11270" max="11270" width="5.140625" bestFit="1" customWidth="1"/>
    <col min="11271" max="11271" width="4.5703125" bestFit="1" customWidth="1"/>
    <col min="11272" max="11272" width="5.140625" bestFit="1" customWidth="1"/>
    <col min="11521" max="11521" width="23.28515625" bestFit="1" customWidth="1"/>
    <col min="11522" max="11522" width="14.85546875" bestFit="1" customWidth="1"/>
    <col min="11523" max="11524" width="12.28515625" bestFit="1" customWidth="1"/>
    <col min="11526" max="11526" width="5.140625" bestFit="1" customWidth="1"/>
    <col min="11527" max="11527" width="4.5703125" bestFit="1" customWidth="1"/>
    <col min="11528" max="11528" width="5.140625" bestFit="1" customWidth="1"/>
    <col min="11777" max="11777" width="23.28515625" bestFit="1" customWidth="1"/>
    <col min="11778" max="11778" width="14.85546875" bestFit="1" customWidth="1"/>
    <col min="11779" max="11780" width="12.28515625" bestFit="1" customWidth="1"/>
    <col min="11782" max="11782" width="5.140625" bestFit="1" customWidth="1"/>
    <col min="11783" max="11783" width="4.5703125" bestFit="1" customWidth="1"/>
    <col min="11784" max="11784" width="5.140625" bestFit="1" customWidth="1"/>
    <col min="12033" max="12033" width="23.28515625" bestFit="1" customWidth="1"/>
    <col min="12034" max="12034" width="14.85546875" bestFit="1" customWidth="1"/>
    <col min="12035" max="12036" width="12.28515625" bestFit="1" customWidth="1"/>
    <col min="12038" max="12038" width="5.140625" bestFit="1" customWidth="1"/>
    <col min="12039" max="12039" width="4.5703125" bestFit="1" customWidth="1"/>
    <col min="12040" max="12040" width="5.140625" bestFit="1" customWidth="1"/>
    <col min="12289" max="12289" width="23.28515625" bestFit="1" customWidth="1"/>
    <col min="12290" max="12290" width="14.85546875" bestFit="1" customWidth="1"/>
    <col min="12291" max="12292" width="12.28515625" bestFit="1" customWidth="1"/>
    <col min="12294" max="12294" width="5.140625" bestFit="1" customWidth="1"/>
    <col min="12295" max="12295" width="4.5703125" bestFit="1" customWidth="1"/>
    <col min="12296" max="12296" width="5.140625" bestFit="1" customWidth="1"/>
    <col min="12545" max="12545" width="23.28515625" bestFit="1" customWidth="1"/>
    <col min="12546" max="12546" width="14.85546875" bestFit="1" customWidth="1"/>
    <col min="12547" max="12548" width="12.28515625" bestFit="1" customWidth="1"/>
    <col min="12550" max="12550" width="5.140625" bestFit="1" customWidth="1"/>
    <col min="12551" max="12551" width="4.5703125" bestFit="1" customWidth="1"/>
    <col min="12552" max="12552" width="5.140625" bestFit="1" customWidth="1"/>
    <col min="12801" max="12801" width="23.28515625" bestFit="1" customWidth="1"/>
    <col min="12802" max="12802" width="14.85546875" bestFit="1" customWidth="1"/>
    <col min="12803" max="12804" width="12.28515625" bestFit="1" customWidth="1"/>
    <col min="12806" max="12806" width="5.140625" bestFit="1" customWidth="1"/>
    <col min="12807" max="12807" width="4.5703125" bestFit="1" customWidth="1"/>
    <col min="12808" max="12808" width="5.140625" bestFit="1" customWidth="1"/>
    <col min="13057" max="13057" width="23.28515625" bestFit="1" customWidth="1"/>
    <col min="13058" max="13058" width="14.85546875" bestFit="1" customWidth="1"/>
    <col min="13059" max="13060" width="12.28515625" bestFit="1" customWidth="1"/>
    <col min="13062" max="13062" width="5.140625" bestFit="1" customWidth="1"/>
    <col min="13063" max="13063" width="4.5703125" bestFit="1" customWidth="1"/>
    <col min="13064" max="13064" width="5.140625" bestFit="1" customWidth="1"/>
    <col min="13313" max="13313" width="23.28515625" bestFit="1" customWidth="1"/>
    <col min="13314" max="13314" width="14.85546875" bestFit="1" customWidth="1"/>
    <col min="13315" max="13316" width="12.28515625" bestFit="1" customWidth="1"/>
    <col min="13318" max="13318" width="5.140625" bestFit="1" customWidth="1"/>
    <col min="13319" max="13319" width="4.5703125" bestFit="1" customWidth="1"/>
    <col min="13320" max="13320" width="5.140625" bestFit="1" customWidth="1"/>
    <col min="13569" max="13569" width="23.28515625" bestFit="1" customWidth="1"/>
    <col min="13570" max="13570" width="14.85546875" bestFit="1" customWidth="1"/>
    <col min="13571" max="13572" width="12.28515625" bestFit="1" customWidth="1"/>
    <col min="13574" max="13574" width="5.140625" bestFit="1" customWidth="1"/>
    <col min="13575" max="13575" width="4.5703125" bestFit="1" customWidth="1"/>
    <col min="13576" max="13576" width="5.140625" bestFit="1" customWidth="1"/>
    <col min="13825" max="13825" width="23.28515625" bestFit="1" customWidth="1"/>
    <col min="13826" max="13826" width="14.85546875" bestFit="1" customWidth="1"/>
    <col min="13827" max="13828" width="12.28515625" bestFit="1" customWidth="1"/>
    <col min="13830" max="13830" width="5.140625" bestFit="1" customWidth="1"/>
    <col min="13831" max="13831" width="4.5703125" bestFit="1" customWidth="1"/>
    <col min="13832" max="13832" width="5.140625" bestFit="1" customWidth="1"/>
    <col min="14081" max="14081" width="23.28515625" bestFit="1" customWidth="1"/>
    <col min="14082" max="14082" width="14.85546875" bestFit="1" customWidth="1"/>
    <col min="14083" max="14084" width="12.28515625" bestFit="1" customWidth="1"/>
    <col min="14086" max="14086" width="5.140625" bestFit="1" customWidth="1"/>
    <col min="14087" max="14087" width="4.5703125" bestFit="1" customWidth="1"/>
    <col min="14088" max="14088" width="5.140625" bestFit="1" customWidth="1"/>
    <col min="14337" max="14337" width="23.28515625" bestFit="1" customWidth="1"/>
    <col min="14338" max="14338" width="14.85546875" bestFit="1" customWidth="1"/>
    <col min="14339" max="14340" width="12.28515625" bestFit="1" customWidth="1"/>
    <col min="14342" max="14342" width="5.140625" bestFit="1" customWidth="1"/>
    <col min="14343" max="14343" width="4.5703125" bestFit="1" customWidth="1"/>
    <col min="14344" max="14344" width="5.140625" bestFit="1" customWidth="1"/>
    <col min="14593" max="14593" width="23.28515625" bestFit="1" customWidth="1"/>
    <col min="14594" max="14594" width="14.85546875" bestFit="1" customWidth="1"/>
    <col min="14595" max="14596" width="12.28515625" bestFit="1" customWidth="1"/>
    <col min="14598" max="14598" width="5.140625" bestFit="1" customWidth="1"/>
    <col min="14599" max="14599" width="4.5703125" bestFit="1" customWidth="1"/>
    <col min="14600" max="14600" width="5.140625" bestFit="1" customWidth="1"/>
    <col min="14849" max="14849" width="23.28515625" bestFit="1" customWidth="1"/>
    <col min="14850" max="14850" width="14.85546875" bestFit="1" customWidth="1"/>
    <col min="14851" max="14852" width="12.28515625" bestFit="1" customWidth="1"/>
    <col min="14854" max="14854" width="5.140625" bestFit="1" customWidth="1"/>
    <col min="14855" max="14855" width="4.5703125" bestFit="1" customWidth="1"/>
    <col min="14856" max="14856" width="5.140625" bestFit="1" customWidth="1"/>
    <col min="15105" max="15105" width="23.28515625" bestFit="1" customWidth="1"/>
    <col min="15106" max="15106" width="14.85546875" bestFit="1" customWidth="1"/>
    <col min="15107" max="15108" width="12.28515625" bestFit="1" customWidth="1"/>
    <col min="15110" max="15110" width="5.140625" bestFit="1" customWidth="1"/>
    <col min="15111" max="15111" width="4.5703125" bestFit="1" customWidth="1"/>
    <col min="15112" max="15112" width="5.140625" bestFit="1" customWidth="1"/>
    <col min="15361" max="15361" width="23.28515625" bestFit="1" customWidth="1"/>
    <col min="15362" max="15362" width="14.85546875" bestFit="1" customWidth="1"/>
    <col min="15363" max="15364" width="12.28515625" bestFit="1" customWidth="1"/>
    <col min="15366" max="15366" width="5.140625" bestFit="1" customWidth="1"/>
    <col min="15367" max="15367" width="4.5703125" bestFit="1" customWidth="1"/>
    <col min="15368" max="15368" width="5.140625" bestFit="1" customWidth="1"/>
    <col min="15617" max="15617" width="23.28515625" bestFit="1" customWidth="1"/>
    <col min="15618" max="15618" width="14.85546875" bestFit="1" customWidth="1"/>
    <col min="15619" max="15620" width="12.28515625" bestFit="1" customWidth="1"/>
    <col min="15622" max="15622" width="5.140625" bestFit="1" customWidth="1"/>
    <col min="15623" max="15623" width="4.5703125" bestFit="1" customWidth="1"/>
    <col min="15624" max="15624" width="5.140625" bestFit="1" customWidth="1"/>
    <col min="15873" max="15873" width="23.28515625" bestFit="1" customWidth="1"/>
    <col min="15874" max="15874" width="14.85546875" bestFit="1" customWidth="1"/>
    <col min="15875" max="15876" width="12.28515625" bestFit="1" customWidth="1"/>
    <col min="15878" max="15878" width="5.140625" bestFit="1" customWidth="1"/>
    <col min="15879" max="15879" width="4.5703125" bestFit="1" customWidth="1"/>
    <col min="15880" max="15880" width="5.140625" bestFit="1" customWidth="1"/>
    <col min="16129" max="16129" width="23.28515625" bestFit="1" customWidth="1"/>
    <col min="16130" max="16130" width="14.85546875" bestFit="1" customWidth="1"/>
    <col min="16131" max="16132" width="12.28515625" bestFit="1" customWidth="1"/>
    <col min="16134" max="16134" width="5.140625" bestFit="1" customWidth="1"/>
    <col min="16135" max="16135" width="4.5703125" bestFit="1" customWidth="1"/>
    <col min="16136" max="16136" width="5.140625" bestFit="1" customWidth="1"/>
  </cols>
  <sheetData>
    <row r="2" spans="1:7" x14ac:dyDescent="0.25">
      <c r="G2" s="63"/>
    </row>
    <row r="3" spans="1:7" x14ac:dyDescent="0.25">
      <c r="A3" s="64"/>
      <c r="B3" s="65" t="s">
        <v>0</v>
      </c>
      <c r="C3" s="65" t="s">
        <v>1</v>
      </c>
    </row>
    <row r="4" spans="1:7" x14ac:dyDescent="0.25">
      <c r="A4" s="64" t="s">
        <v>2</v>
      </c>
      <c r="B4" s="64"/>
      <c r="C4" s="64">
        <v>62900</v>
      </c>
    </row>
    <row r="5" spans="1:7" x14ac:dyDescent="0.25">
      <c r="A5" s="64" t="s">
        <v>75</v>
      </c>
      <c r="B5" s="64"/>
      <c r="C5" s="66">
        <f>8000</f>
        <v>8000</v>
      </c>
      <c r="D5" t="s">
        <v>82</v>
      </c>
    </row>
    <row r="6" spans="1:7" x14ac:dyDescent="0.25">
      <c r="A6" s="64" t="s">
        <v>47</v>
      </c>
      <c r="B6" s="64"/>
      <c r="C6" s="67">
        <f>C4+C5</f>
        <v>70900</v>
      </c>
    </row>
    <row r="8" spans="1:7" x14ac:dyDescent="0.25">
      <c r="A8" s="1" t="s">
        <v>76</v>
      </c>
      <c r="B8" s="64">
        <v>1200000</v>
      </c>
    </row>
    <row r="9" spans="1:7" x14ac:dyDescent="0.25">
      <c r="A9" s="1" t="s">
        <v>77</v>
      </c>
      <c r="B9" s="66">
        <f>B8*0.005</f>
        <v>6000</v>
      </c>
    </row>
    <row r="10" spans="1:7" x14ac:dyDescent="0.25">
      <c r="A10" s="3" t="s">
        <v>78</v>
      </c>
      <c r="B10" s="68">
        <f>B9</f>
        <v>6000</v>
      </c>
    </row>
    <row r="11" spans="1:7" x14ac:dyDescent="0.25">
      <c r="A11" s="11" t="s">
        <v>79</v>
      </c>
      <c r="B11" s="74">
        <f>B10*0.6</f>
        <v>3600</v>
      </c>
    </row>
    <row r="12" spans="1:7" x14ac:dyDescent="0.25">
      <c r="B12" s="69"/>
    </row>
    <row r="13" spans="1:7" x14ac:dyDescent="0.25">
      <c r="A13" s="1" t="s">
        <v>80</v>
      </c>
      <c r="B13" s="66">
        <f>C6</f>
        <v>70900</v>
      </c>
      <c r="C13" s="73">
        <v>0.26500000000000001</v>
      </c>
      <c r="D13" s="66">
        <f>B13*C13</f>
        <v>18788.5</v>
      </c>
    </row>
    <row r="14" spans="1:7" x14ac:dyDescent="0.25">
      <c r="A14" s="70" t="str">
        <f>A11</f>
        <v>Réduction d'impôt 60%</v>
      </c>
      <c r="B14" s="71"/>
      <c r="C14" s="72"/>
      <c r="D14" s="66">
        <f>-B11</f>
        <v>-3600</v>
      </c>
    </row>
    <row r="15" spans="1:7" x14ac:dyDescent="0.25">
      <c r="A15" s="75" t="s">
        <v>81</v>
      </c>
      <c r="B15" s="76"/>
      <c r="C15" s="77"/>
      <c r="D15" s="68">
        <f>D13+D14</f>
        <v>15188.5</v>
      </c>
    </row>
    <row r="17" spans="1:1" x14ac:dyDescent="0.25">
      <c r="A17" t="s">
        <v>83</v>
      </c>
    </row>
  </sheetData>
  <mergeCells count="2">
    <mergeCell ref="A14:C14"/>
    <mergeCell ref="A15:C15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28BC3-C413-4357-8D74-3D5B6D526955}">
  <dimension ref="A2:E25"/>
  <sheetViews>
    <sheetView showGridLines="0" topLeftCell="A10" zoomScale="196" zoomScaleNormal="196" workbookViewId="0">
      <selection activeCell="A25" sqref="A25:B25"/>
    </sheetView>
  </sheetViews>
  <sheetFormatPr baseColWidth="10" defaultRowHeight="15" x14ac:dyDescent="0.25"/>
  <cols>
    <col min="1" max="1" width="24.7109375" bestFit="1" customWidth="1"/>
    <col min="2" max="2" width="24.140625" style="78" customWidth="1"/>
    <col min="3" max="3" width="31.140625" style="78" customWidth="1"/>
    <col min="4" max="4" width="14.85546875" customWidth="1"/>
    <col min="257" max="257" width="24.7109375" bestFit="1" customWidth="1"/>
    <col min="258" max="258" width="24.140625" customWidth="1"/>
    <col min="259" max="259" width="31.140625" customWidth="1"/>
    <col min="260" max="260" width="14.85546875" customWidth="1"/>
    <col min="513" max="513" width="24.7109375" bestFit="1" customWidth="1"/>
    <col min="514" max="514" width="24.140625" customWidth="1"/>
    <col min="515" max="515" width="31.140625" customWidth="1"/>
    <col min="516" max="516" width="14.85546875" customWidth="1"/>
    <col min="769" max="769" width="24.7109375" bestFit="1" customWidth="1"/>
    <col min="770" max="770" width="24.140625" customWidth="1"/>
    <col min="771" max="771" width="31.140625" customWidth="1"/>
    <col min="772" max="772" width="14.85546875" customWidth="1"/>
    <col min="1025" max="1025" width="24.7109375" bestFit="1" customWidth="1"/>
    <col min="1026" max="1026" width="24.140625" customWidth="1"/>
    <col min="1027" max="1027" width="31.140625" customWidth="1"/>
    <col min="1028" max="1028" width="14.85546875" customWidth="1"/>
    <col min="1281" max="1281" width="24.7109375" bestFit="1" customWidth="1"/>
    <col min="1282" max="1282" width="24.140625" customWidth="1"/>
    <col min="1283" max="1283" width="31.140625" customWidth="1"/>
    <col min="1284" max="1284" width="14.85546875" customWidth="1"/>
    <col min="1537" max="1537" width="24.7109375" bestFit="1" customWidth="1"/>
    <col min="1538" max="1538" width="24.140625" customWidth="1"/>
    <col min="1539" max="1539" width="31.140625" customWidth="1"/>
    <col min="1540" max="1540" width="14.85546875" customWidth="1"/>
    <col min="1793" max="1793" width="24.7109375" bestFit="1" customWidth="1"/>
    <col min="1794" max="1794" width="24.140625" customWidth="1"/>
    <col min="1795" max="1795" width="31.140625" customWidth="1"/>
    <col min="1796" max="1796" width="14.85546875" customWidth="1"/>
    <col min="2049" max="2049" width="24.7109375" bestFit="1" customWidth="1"/>
    <col min="2050" max="2050" width="24.140625" customWidth="1"/>
    <col min="2051" max="2051" width="31.140625" customWidth="1"/>
    <col min="2052" max="2052" width="14.85546875" customWidth="1"/>
    <col min="2305" max="2305" width="24.7109375" bestFit="1" customWidth="1"/>
    <col min="2306" max="2306" width="24.140625" customWidth="1"/>
    <col min="2307" max="2307" width="31.140625" customWidth="1"/>
    <col min="2308" max="2308" width="14.85546875" customWidth="1"/>
    <col min="2561" max="2561" width="24.7109375" bestFit="1" customWidth="1"/>
    <col min="2562" max="2562" width="24.140625" customWidth="1"/>
    <col min="2563" max="2563" width="31.140625" customWidth="1"/>
    <col min="2564" max="2564" width="14.85546875" customWidth="1"/>
    <col min="2817" max="2817" width="24.7109375" bestFit="1" customWidth="1"/>
    <col min="2818" max="2818" width="24.140625" customWidth="1"/>
    <col min="2819" max="2819" width="31.140625" customWidth="1"/>
    <col min="2820" max="2820" width="14.85546875" customWidth="1"/>
    <col min="3073" max="3073" width="24.7109375" bestFit="1" customWidth="1"/>
    <col min="3074" max="3074" width="24.140625" customWidth="1"/>
    <col min="3075" max="3075" width="31.140625" customWidth="1"/>
    <col min="3076" max="3076" width="14.85546875" customWidth="1"/>
    <col min="3329" max="3329" width="24.7109375" bestFit="1" customWidth="1"/>
    <col min="3330" max="3330" width="24.140625" customWidth="1"/>
    <col min="3331" max="3331" width="31.140625" customWidth="1"/>
    <col min="3332" max="3332" width="14.85546875" customWidth="1"/>
    <col min="3585" max="3585" width="24.7109375" bestFit="1" customWidth="1"/>
    <col min="3586" max="3586" width="24.140625" customWidth="1"/>
    <col min="3587" max="3587" width="31.140625" customWidth="1"/>
    <col min="3588" max="3588" width="14.85546875" customWidth="1"/>
    <col min="3841" max="3841" width="24.7109375" bestFit="1" customWidth="1"/>
    <col min="3842" max="3842" width="24.140625" customWidth="1"/>
    <col min="3843" max="3843" width="31.140625" customWidth="1"/>
    <col min="3844" max="3844" width="14.85546875" customWidth="1"/>
    <col min="4097" max="4097" width="24.7109375" bestFit="1" customWidth="1"/>
    <col min="4098" max="4098" width="24.140625" customWidth="1"/>
    <col min="4099" max="4099" width="31.140625" customWidth="1"/>
    <col min="4100" max="4100" width="14.85546875" customWidth="1"/>
    <col min="4353" max="4353" width="24.7109375" bestFit="1" customWidth="1"/>
    <col min="4354" max="4354" width="24.140625" customWidth="1"/>
    <col min="4355" max="4355" width="31.140625" customWidth="1"/>
    <col min="4356" max="4356" width="14.85546875" customWidth="1"/>
    <col min="4609" max="4609" width="24.7109375" bestFit="1" customWidth="1"/>
    <col min="4610" max="4610" width="24.140625" customWidth="1"/>
    <col min="4611" max="4611" width="31.140625" customWidth="1"/>
    <col min="4612" max="4612" width="14.85546875" customWidth="1"/>
    <col min="4865" max="4865" width="24.7109375" bestFit="1" customWidth="1"/>
    <col min="4866" max="4866" width="24.140625" customWidth="1"/>
    <col min="4867" max="4867" width="31.140625" customWidth="1"/>
    <col min="4868" max="4868" width="14.85546875" customWidth="1"/>
    <col min="5121" max="5121" width="24.7109375" bestFit="1" customWidth="1"/>
    <col min="5122" max="5122" width="24.140625" customWidth="1"/>
    <col min="5123" max="5123" width="31.140625" customWidth="1"/>
    <col min="5124" max="5124" width="14.85546875" customWidth="1"/>
    <col min="5377" max="5377" width="24.7109375" bestFit="1" customWidth="1"/>
    <col min="5378" max="5378" width="24.140625" customWidth="1"/>
    <col min="5379" max="5379" width="31.140625" customWidth="1"/>
    <col min="5380" max="5380" width="14.85546875" customWidth="1"/>
    <col min="5633" max="5633" width="24.7109375" bestFit="1" customWidth="1"/>
    <col min="5634" max="5634" width="24.140625" customWidth="1"/>
    <col min="5635" max="5635" width="31.140625" customWidth="1"/>
    <col min="5636" max="5636" width="14.85546875" customWidth="1"/>
    <col min="5889" max="5889" width="24.7109375" bestFit="1" customWidth="1"/>
    <col min="5890" max="5890" width="24.140625" customWidth="1"/>
    <col min="5891" max="5891" width="31.140625" customWidth="1"/>
    <col min="5892" max="5892" width="14.85546875" customWidth="1"/>
    <col min="6145" max="6145" width="24.7109375" bestFit="1" customWidth="1"/>
    <col min="6146" max="6146" width="24.140625" customWidth="1"/>
    <col min="6147" max="6147" width="31.140625" customWidth="1"/>
    <col min="6148" max="6148" width="14.85546875" customWidth="1"/>
    <col min="6401" max="6401" width="24.7109375" bestFit="1" customWidth="1"/>
    <col min="6402" max="6402" width="24.140625" customWidth="1"/>
    <col min="6403" max="6403" width="31.140625" customWidth="1"/>
    <col min="6404" max="6404" width="14.85546875" customWidth="1"/>
    <col min="6657" max="6657" width="24.7109375" bestFit="1" customWidth="1"/>
    <col min="6658" max="6658" width="24.140625" customWidth="1"/>
    <col min="6659" max="6659" width="31.140625" customWidth="1"/>
    <col min="6660" max="6660" width="14.85546875" customWidth="1"/>
    <col min="6913" max="6913" width="24.7109375" bestFit="1" customWidth="1"/>
    <col min="6914" max="6914" width="24.140625" customWidth="1"/>
    <col min="6915" max="6915" width="31.140625" customWidth="1"/>
    <col min="6916" max="6916" width="14.85546875" customWidth="1"/>
    <col min="7169" max="7169" width="24.7109375" bestFit="1" customWidth="1"/>
    <col min="7170" max="7170" width="24.140625" customWidth="1"/>
    <col min="7171" max="7171" width="31.140625" customWidth="1"/>
    <col min="7172" max="7172" width="14.85546875" customWidth="1"/>
    <col min="7425" max="7425" width="24.7109375" bestFit="1" customWidth="1"/>
    <col min="7426" max="7426" width="24.140625" customWidth="1"/>
    <col min="7427" max="7427" width="31.140625" customWidth="1"/>
    <col min="7428" max="7428" width="14.85546875" customWidth="1"/>
    <col min="7681" max="7681" width="24.7109375" bestFit="1" customWidth="1"/>
    <col min="7682" max="7682" width="24.140625" customWidth="1"/>
    <col min="7683" max="7683" width="31.140625" customWidth="1"/>
    <col min="7684" max="7684" width="14.85546875" customWidth="1"/>
    <col min="7937" max="7937" width="24.7109375" bestFit="1" customWidth="1"/>
    <col min="7938" max="7938" width="24.140625" customWidth="1"/>
    <col min="7939" max="7939" width="31.140625" customWidth="1"/>
    <col min="7940" max="7940" width="14.85546875" customWidth="1"/>
    <col min="8193" max="8193" width="24.7109375" bestFit="1" customWidth="1"/>
    <col min="8194" max="8194" width="24.140625" customWidth="1"/>
    <col min="8195" max="8195" width="31.140625" customWidth="1"/>
    <col min="8196" max="8196" width="14.85546875" customWidth="1"/>
    <col min="8449" max="8449" width="24.7109375" bestFit="1" customWidth="1"/>
    <col min="8450" max="8450" width="24.140625" customWidth="1"/>
    <col min="8451" max="8451" width="31.140625" customWidth="1"/>
    <col min="8452" max="8452" width="14.85546875" customWidth="1"/>
    <col min="8705" max="8705" width="24.7109375" bestFit="1" customWidth="1"/>
    <col min="8706" max="8706" width="24.140625" customWidth="1"/>
    <col min="8707" max="8707" width="31.140625" customWidth="1"/>
    <col min="8708" max="8708" width="14.85546875" customWidth="1"/>
    <col min="8961" max="8961" width="24.7109375" bestFit="1" customWidth="1"/>
    <col min="8962" max="8962" width="24.140625" customWidth="1"/>
    <col min="8963" max="8963" width="31.140625" customWidth="1"/>
    <col min="8964" max="8964" width="14.85546875" customWidth="1"/>
    <col min="9217" max="9217" width="24.7109375" bestFit="1" customWidth="1"/>
    <col min="9218" max="9218" width="24.140625" customWidth="1"/>
    <col min="9219" max="9219" width="31.140625" customWidth="1"/>
    <col min="9220" max="9220" width="14.85546875" customWidth="1"/>
    <col min="9473" max="9473" width="24.7109375" bestFit="1" customWidth="1"/>
    <col min="9474" max="9474" width="24.140625" customWidth="1"/>
    <col min="9475" max="9475" width="31.140625" customWidth="1"/>
    <col min="9476" max="9476" width="14.85546875" customWidth="1"/>
    <col min="9729" max="9729" width="24.7109375" bestFit="1" customWidth="1"/>
    <col min="9730" max="9730" width="24.140625" customWidth="1"/>
    <col min="9731" max="9731" width="31.140625" customWidth="1"/>
    <col min="9732" max="9732" width="14.85546875" customWidth="1"/>
    <col min="9985" max="9985" width="24.7109375" bestFit="1" customWidth="1"/>
    <col min="9986" max="9986" width="24.140625" customWidth="1"/>
    <col min="9987" max="9987" width="31.140625" customWidth="1"/>
    <col min="9988" max="9988" width="14.85546875" customWidth="1"/>
    <col min="10241" max="10241" width="24.7109375" bestFit="1" customWidth="1"/>
    <col min="10242" max="10242" width="24.140625" customWidth="1"/>
    <col min="10243" max="10243" width="31.140625" customWidth="1"/>
    <col min="10244" max="10244" width="14.85546875" customWidth="1"/>
    <col min="10497" max="10497" width="24.7109375" bestFit="1" customWidth="1"/>
    <col min="10498" max="10498" width="24.140625" customWidth="1"/>
    <col min="10499" max="10499" width="31.140625" customWidth="1"/>
    <col min="10500" max="10500" width="14.85546875" customWidth="1"/>
    <col min="10753" max="10753" width="24.7109375" bestFit="1" customWidth="1"/>
    <col min="10754" max="10754" width="24.140625" customWidth="1"/>
    <col min="10755" max="10755" width="31.140625" customWidth="1"/>
    <col min="10756" max="10756" width="14.85546875" customWidth="1"/>
    <col min="11009" max="11009" width="24.7109375" bestFit="1" customWidth="1"/>
    <col min="11010" max="11010" width="24.140625" customWidth="1"/>
    <col min="11011" max="11011" width="31.140625" customWidth="1"/>
    <col min="11012" max="11012" width="14.85546875" customWidth="1"/>
    <col min="11265" max="11265" width="24.7109375" bestFit="1" customWidth="1"/>
    <col min="11266" max="11266" width="24.140625" customWidth="1"/>
    <col min="11267" max="11267" width="31.140625" customWidth="1"/>
    <col min="11268" max="11268" width="14.85546875" customWidth="1"/>
    <col min="11521" max="11521" width="24.7109375" bestFit="1" customWidth="1"/>
    <col min="11522" max="11522" width="24.140625" customWidth="1"/>
    <col min="11523" max="11523" width="31.140625" customWidth="1"/>
    <col min="11524" max="11524" width="14.85546875" customWidth="1"/>
    <col min="11777" max="11777" width="24.7109375" bestFit="1" customWidth="1"/>
    <col min="11778" max="11778" width="24.140625" customWidth="1"/>
    <col min="11779" max="11779" width="31.140625" customWidth="1"/>
    <col min="11780" max="11780" width="14.85546875" customWidth="1"/>
    <col min="12033" max="12033" width="24.7109375" bestFit="1" customWidth="1"/>
    <col min="12034" max="12034" width="24.140625" customWidth="1"/>
    <col min="12035" max="12035" width="31.140625" customWidth="1"/>
    <col min="12036" max="12036" width="14.85546875" customWidth="1"/>
    <col min="12289" max="12289" width="24.7109375" bestFit="1" customWidth="1"/>
    <col min="12290" max="12290" width="24.140625" customWidth="1"/>
    <col min="12291" max="12291" width="31.140625" customWidth="1"/>
    <col min="12292" max="12292" width="14.85546875" customWidth="1"/>
    <col min="12545" max="12545" width="24.7109375" bestFit="1" customWidth="1"/>
    <col min="12546" max="12546" width="24.140625" customWidth="1"/>
    <col min="12547" max="12547" width="31.140625" customWidth="1"/>
    <col min="12548" max="12548" width="14.85546875" customWidth="1"/>
    <col min="12801" max="12801" width="24.7109375" bestFit="1" customWidth="1"/>
    <col min="12802" max="12802" width="24.140625" customWidth="1"/>
    <col min="12803" max="12803" width="31.140625" customWidth="1"/>
    <col min="12804" max="12804" width="14.85546875" customWidth="1"/>
    <col min="13057" max="13057" width="24.7109375" bestFit="1" customWidth="1"/>
    <col min="13058" max="13058" width="24.140625" customWidth="1"/>
    <col min="13059" max="13059" width="31.140625" customWidth="1"/>
    <col min="13060" max="13060" width="14.85546875" customWidth="1"/>
    <col min="13313" max="13313" width="24.7109375" bestFit="1" customWidth="1"/>
    <col min="13314" max="13314" width="24.140625" customWidth="1"/>
    <col min="13315" max="13315" width="31.140625" customWidth="1"/>
    <col min="13316" max="13316" width="14.85546875" customWidth="1"/>
    <col min="13569" max="13569" width="24.7109375" bestFit="1" customWidth="1"/>
    <col min="13570" max="13570" width="24.140625" customWidth="1"/>
    <col min="13571" max="13571" width="31.140625" customWidth="1"/>
    <col min="13572" max="13572" width="14.85546875" customWidth="1"/>
    <col min="13825" max="13825" width="24.7109375" bestFit="1" customWidth="1"/>
    <col min="13826" max="13826" width="24.140625" customWidth="1"/>
    <col min="13827" max="13827" width="31.140625" customWidth="1"/>
    <col min="13828" max="13828" width="14.85546875" customWidth="1"/>
    <col min="14081" max="14081" width="24.7109375" bestFit="1" customWidth="1"/>
    <col min="14082" max="14082" width="24.140625" customWidth="1"/>
    <col min="14083" max="14083" width="31.140625" customWidth="1"/>
    <col min="14084" max="14084" width="14.85546875" customWidth="1"/>
    <col min="14337" max="14337" width="24.7109375" bestFit="1" customWidth="1"/>
    <col min="14338" max="14338" width="24.140625" customWidth="1"/>
    <col min="14339" max="14339" width="31.140625" customWidth="1"/>
    <col min="14340" max="14340" width="14.85546875" customWidth="1"/>
    <col min="14593" max="14593" width="24.7109375" bestFit="1" customWidth="1"/>
    <col min="14594" max="14594" width="24.140625" customWidth="1"/>
    <col min="14595" max="14595" width="31.140625" customWidth="1"/>
    <col min="14596" max="14596" width="14.85546875" customWidth="1"/>
    <col min="14849" max="14849" width="24.7109375" bestFit="1" customWidth="1"/>
    <col min="14850" max="14850" width="24.140625" customWidth="1"/>
    <col min="14851" max="14851" width="31.140625" customWidth="1"/>
    <col min="14852" max="14852" width="14.85546875" customWidth="1"/>
    <col min="15105" max="15105" width="24.7109375" bestFit="1" customWidth="1"/>
    <col min="15106" max="15106" width="24.140625" customWidth="1"/>
    <col min="15107" max="15107" width="31.140625" customWidth="1"/>
    <col min="15108" max="15108" width="14.85546875" customWidth="1"/>
    <col min="15361" max="15361" width="24.7109375" bestFit="1" customWidth="1"/>
    <col min="15362" max="15362" width="24.140625" customWidth="1"/>
    <col min="15363" max="15363" width="31.140625" customWidth="1"/>
    <col min="15364" max="15364" width="14.85546875" customWidth="1"/>
    <col min="15617" max="15617" width="24.7109375" bestFit="1" customWidth="1"/>
    <col min="15618" max="15618" width="24.140625" customWidth="1"/>
    <col min="15619" max="15619" width="31.140625" customWidth="1"/>
    <col min="15620" max="15620" width="14.85546875" customWidth="1"/>
    <col min="15873" max="15873" width="24.7109375" bestFit="1" customWidth="1"/>
    <col min="15874" max="15874" width="24.140625" customWidth="1"/>
    <col min="15875" max="15875" width="31.140625" customWidth="1"/>
    <col min="15876" max="15876" width="14.85546875" customWidth="1"/>
    <col min="16129" max="16129" width="24.7109375" bestFit="1" customWidth="1"/>
    <col min="16130" max="16130" width="24.140625" customWidth="1"/>
    <col min="16131" max="16131" width="31.140625" customWidth="1"/>
    <col min="16132" max="16132" width="14.85546875" customWidth="1"/>
  </cols>
  <sheetData>
    <row r="2" spans="1:5" ht="16.5" x14ac:dyDescent="0.25">
      <c r="A2" s="79" t="s">
        <v>84</v>
      </c>
      <c r="B2" s="80" t="s">
        <v>85</v>
      </c>
      <c r="C2" s="80" t="s">
        <v>23</v>
      </c>
      <c r="D2" s="81" t="s">
        <v>53</v>
      </c>
    </row>
    <row r="3" spans="1:5" x14ac:dyDescent="0.25">
      <c r="A3" s="82" t="s">
        <v>46</v>
      </c>
      <c r="B3" s="83"/>
      <c r="C3" s="83">
        <v>54872</v>
      </c>
      <c r="D3" s="82"/>
    </row>
    <row r="4" spans="1:5" x14ac:dyDescent="0.25">
      <c r="A4" s="82"/>
      <c r="B4" s="83"/>
      <c r="C4" s="83"/>
      <c r="D4" s="82"/>
    </row>
    <row r="5" spans="1:5" ht="25.5" x14ac:dyDescent="0.25">
      <c r="A5" s="84" t="s">
        <v>86</v>
      </c>
      <c r="B5" s="85"/>
      <c r="C5" s="86">
        <f>2024*1.2</f>
        <v>2428.7999999999997</v>
      </c>
      <c r="D5" s="87" t="s">
        <v>87</v>
      </c>
      <c r="E5" s="25" t="s">
        <v>88</v>
      </c>
    </row>
    <row r="6" spans="1:5" ht="25.5" x14ac:dyDescent="0.25">
      <c r="A6" s="88" t="s">
        <v>89</v>
      </c>
      <c r="B6" s="85"/>
      <c r="C6" s="86">
        <v>130</v>
      </c>
      <c r="D6" s="89"/>
    </row>
    <row r="7" spans="1:5" ht="25.5" x14ac:dyDescent="0.25">
      <c r="A7" s="84" t="s">
        <v>90</v>
      </c>
      <c r="B7" s="85"/>
      <c r="C7" s="85"/>
      <c r="D7" s="90" t="s">
        <v>91</v>
      </c>
    </row>
    <row r="8" spans="1:5" ht="18.75" x14ac:dyDescent="0.25">
      <c r="A8" s="84" t="s">
        <v>92</v>
      </c>
      <c r="B8" s="85"/>
      <c r="C8" s="86">
        <f>3000*8-(490000/10*5%*7.5)</f>
        <v>5625</v>
      </c>
      <c r="D8" s="89"/>
      <c r="E8" s="25" t="s">
        <v>109</v>
      </c>
    </row>
    <row r="9" spans="1:5" ht="18.75" x14ac:dyDescent="0.25">
      <c r="A9" s="84" t="s">
        <v>93</v>
      </c>
      <c r="B9" s="85"/>
      <c r="C9" s="86">
        <f>(30000*(3.5%-1.17%))</f>
        <v>699.00000000000011</v>
      </c>
      <c r="D9" s="89"/>
      <c r="E9" s="25" t="s">
        <v>110</v>
      </c>
    </row>
    <row r="10" spans="1:5" ht="18.75" x14ac:dyDescent="0.25">
      <c r="A10" s="84" t="s">
        <v>94</v>
      </c>
      <c r="B10" s="85"/>
      <c r="C10" s="86">
        <f>(15000*6/12)*(0.035-0.0117)</f>
        <v>174.75</v>
      </c>
      <c r="D10" s="89"/>
      <c r="E10" s="25" t="s">
        <v>111</v>
      </c>
    </row>
    <row r="11" spans="1:5" ht="18.75" x14ac:dyDescent="0.25">
      <c r="A11" s="84" t="s">
        <v>95</v>
      </c>
      <c r="B11" s="85"/>
      <c r="C11" s="86">
        <v>4880</v>
      </c>
      <c r="D11" s="89"/>
    </row>
    <row r="12" spans="1:5" ht="22.5" x14ac:dyDescent="0.25">
      <c r="A12" s="84" t="s">
        <v>96</v>
      </c>
      <c r="B12" s="85"/>
      <c r="C12" s="86">
        <f>(32500-9900)*0.2*4/12</f>
        <v>1506.6666666666667</v>
      </c>
      <c r="D12" s="91"/>
      <c r="E12" s="25" t="s">
        <v>97</v>
      </c>
    </row>
    <row r="13" spans="1:5" ht="18.75" x14ac:dyDescent="0.25">
      <c r="A13" s="84" t="s">
        <v>98</v>
      </c>
      <c r="B13" s="85"/>
      <c r="C13" s="86">
        <f>(21500-18300)*0.2*9/12</f>
        <v>480</v>
      </c>
      <c r="D13" s="89"/>
      <c r="E13" s="25" t="s">
        <v>99</v>
      </c>
    </row>
    <row r="14" spans="1:5" ht="22.5" x14ac:dyDescent="0.25">
      <c r="A14" s="84" t="s">
        <v>100</v>
      </c>
      <c r="B14" s="85"/>
      <c r="C14" s="85"/>
      <c r="D14" s="92" t="s">
        <v>101</v>
      </c>
    </row>
    <row r="15" spans="1:5" ht="25.5" x14ac:dyDescent="0.25">
      <c r="A15" s="84" t="s">
        <v>102</v>
      </c>
      <c r="B15" s="85"/>
      <c r="C15" s="85"/>
      <c r="D15" s="93" t="s">
        <v>91</v>
      </c>
    </row>
    <row r="16" spans="1:5" ht="25.5" x14ac:dyDescent="0.25">
      <c r="A16" s="84" t="s">
        <v>103</v>
      </c>
      <c r="B16" s="85"/>
      <c r="C16" s="85"/>
      <c r="D16" s="93" t="s">
        <v>91</v>
      </c>
    </row>
    <row r="17" spans="1:5" ht="38.25" x14ac:dyDescent="0.25">
      <c r="A17" s="84" t="s">
        <v>104</v>
      </c>
      <c r="B17" s="85"/>
      <c r="C17" s="86">
        <f>2980*1.2</f>
        <v>3576</v>
      </c>
      <c r="D17" s="89" t="s">
        <v>105</v>
      </c>
      <c r="E17" s="25" t="s">
        <v>106</v>
      </c>
    </row>
    <row r="18" spans="1:5" ht="15.75" x14ac:dyDescent="0.25">
      <c r="A18" s="84" t="s">
        <v>107</v>
      </c>
      <c r="B18" s="94">
        <v>16660</v>
      </c>
      <c r="C18" s="94">
        <v>18900</v>
      </c>
      <c r="D18" s="95"/>
    </row>
    <row r="19" spans="1:5" ht="15.75" x14ac:dyDescent="0.25">
      <c r="A19" s="84" t="s">
        <v>75</v>
      </c>
      <c r="B19" s="94"/>
      <c r="C19" s="94">
        <v>5000</v>
      </c>
      <c r="D19" s="95"/>
    </row>
    <row r="20" spans="1:5" ht="15.75" x14ac:dyDescent="0.25">
      <c r="A20" s="96" t="s">
        <v>72</v>
      </c>
      <c r="B20" s="97">
        <f>+SUM(B3:B19)</f>
        <v>16660</v>
      </c>
      <c r="C20" s="97">
        <f>+SUM(C3:C19)</f>
        <v>98272.216666666674</v>
      </c>
      <c r="D20" s="98"/>
    </row>
    <row r="21" spans="1:5" ht="20.25" x14ac:dyDescent="0.25">
      <c r="A21" s="100" t="s">
        <v>108</v>
      </c>
      <c r="B21" s="101"/>
      <c r="C21" s="102">
        <f>C20-B20</f>
        <v>81612.216666666674</v>
      </c>
      <c r="D21" s="98"/>
    </row>
    <row r="23" spans="1:5" x14ac:dyDescent="0.25">
      <c r="A23" s="1" t="s">
        <v>112</v>
      </c>
      <c r="B23" s="99">
        <f>81612*0.265</f>
        <v>21627.18</v>
      </c>
    </row>
    <row r="24" spans="1:5" x14ac:dyDescent="0.25">
      <c r="A24" s="1" t="s">
        <v>113</v>
      </c>
      <c r="B24" s="99">
        <f>-5000*0.6</f>
        <v>-3000</v>
      </c>
    </row>
    <row r="25" spans="1:5" x14ac:dyDescent="0.25">
      <c r="A25" s="11" t="s">
        <v>81</v>
      </c>
      <c r="B25" s="103">
        <f>B23+B24</f>
        <v>18627.18</v>
      </c>
    </row>
  </sheetData>
  <mergeCells count="5">
    <mergeCell ref="A3:A4"/>
    <mergeCell ref="B3:B4"/>
    <mergeCell ref="C3:C4"/>
    <mergeCell ref="D3:D4"/>
    <mergeCell ref="D20:D2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6972A-0382-41B2-A195-CEE0DFFDC717}">
  <dimension ref="A1:F28"/>
  <sheetViews>
    <sheetView showGridLines="0" zoomScale="210" zoomScaleNormal="210" workbookViewId="0">
      <selection activeCell="D8" sqref="D8:D13"/>
    </sheetView>
  </sheetViews>
  <sheetFormatPr baseColWidth="10" defaultRowHeight="15" x14ac:dyDescent="0.25"/>
  <cols>
    <col min="1" max="1" width="23.140625" bestFit="1" customWidth="1"/>
    <col min="4" max="4" width="15.28515625" customWidth="1"/>
    <col min="5" max="5" width="25.85546875" customWidth="1"/>
  </cols>
  <sheetData>
    <row r="1" spans="1:6" x14ac:dyDescent="0.25">
      <c r="B1" s="23"/>
      <c r="C1" s="23"/>
    </row>
    <row r="2" spans="1:6" ht="30" x14ac:dyDescent="0.25">
      <c r="A2" s="1"/>
      <c r="B2" s="104" t="s">
        <v>0</v>
      </c>
      <c r="C2" s="104" t="s">
        <v>1</v>
      </c>
      <c r="D2" s="27" t="s">
        <v>114</v>
      </c>
    </row>
    <row r="3" spans="1:6" x14ac:dyDescent="0.25">
      <c r="A3" s="1" t="s">
        <v>2</v>
      </c>
      <c r="B3" s="5"/>
      <c r="C3" s="5">
        <v>35600</v>
      </c>
      <c r="D3" s="1"/>
    </row>
    <row r="4" spans="1:6" x14ac:dyDescent="0.25">
      <c r="A4" s="1">
        <v>1</v>
      </c>
      <c r="B4" s="5"/>
      <c r="C4" s="5">
        <f>(31000-9900)*0.2*9/12</f>
        <v>3165</v>
      </c>
      <c r="D4" s="1"/>
      <c r="E4" s="105" t="s">
        <v>121</v>
      </c>
      <c r="F4" s="106"/>
    </row>
    <row r="5" spans="1:6" x14ac:dyDescent="0.25">
      <c r="A5" s="1">
        <v>2</v>
      </c>
      <c r="B5" s="5"/>
      <c r="C5" s="5">
        <f>(29000-18300)*0.2</f>
        <v>2140</v>
      </c>
      <c r="D5" s="1"/>
      <c r="E5" s="108" t="s">
        <v>122</v>
      </c>
      <c r="F5" s="107"/>
    </row>
    <row r="6" spans="1:6" x14ac:dyDescent="0.25">
      <c r="A6" s="1">
        <v>3</v>
      </c>
      <c r="B6" s="5"/>
      <c r="C6" s="5">
        <v>1300</v>
      </c>
      <c r="D6" s="1"/>
    </row>
    <row r="7" spans="1:6" x14ac:dyDescent="0.25">
      <c r="A7" s="1">
        <v>4</v>
      </c>
      <c r="B7" s="5"/>
      <c r="C7" s="5">
        <f>1100-(33000*0.0117*10/12)</f>
        <v>778.25</v>
      </c>
      <c r="D7" s="1"/>
      <c r="E7" s="25" t="s">
        <v>123</v>
      </c>
    </row>
    <row r="8" spans="1:6" x14ac:dyDescent="0.25">
      <c r="A8" s="1">
        <v>5</v>
      </c>
      <c r="B8" s="5"/>
      <c r="C8" s="5"/>
      <c r="D8" s="14" t="s">
        <v>115</v>
      </c>
    </row>
    <row r="9" spans="1:6" x14ac:dyDescent="0.25">
      <c r="A9" s="1">
        <v>6</v>
      </c>
      <c r="B9" s="5"/>
      <c r="C9" s="5"/>
      <c r="D9" s="14" t="s">
        <v>115</v>
      </c>
    </row>
    <row r="10" spans="1:6" x14ac:dyDescent="0.25">
      <c r="A10" s="1">
        <v>7</v>
      </c>
      <c r="B10" s="5"/>
      <c r="C10" s="5"/>
      <c r="D10" s="14" t="s">
        <v>115</v>
      </c>
    </row>
    <row r="11" spans="1:6" x14ac:dyDescent="0.25">
      <c r="A11" s="1">
        <v>8</v>
      </c>
      <c r="B11" s="5"/>
      <c r="C11" s="5">
        <f>9200*1.2</f>
        <v>11040</v>
      </c>
      <c r="D11" s="14"/>
      <c r="E11" t="s">
        <v>124</v>
      </c>
    </row>
    <row r="12" spans="1:6" x14ac:dyDescent="0.25">
      <c r="A12" s="1">
        <v>9</v>
      </c>
      <c r="B12" s="5">
        <v>5300</v>
      </c>
      <c r="C12" s="5"/>
      <c r="D12" s="14"/>
    </row>
    <row r="13" spans="1:6" x14ac:dyDescent="0.25">
      <c r="A13" s="1">
        <v>10</v>
      </c>
      <c r="B13" s="5"/>
      <c r="C13" s="5"/>
      <c r="D13" s="14" t="s">
        <v>115</v>
      </c>
      <c r="E13" t="s">
        <v>125</v>
      </c>
    </row>
    <row r="14" spans="1:6" x14ac:dyDescent="0.25">
      <c r="A14" s="1">
        <v>11</v>
      </c>
      <c r="B14" s="5"/>
      <c r="C14" s="5">
        <v>1200</v>
      </c>
      <c r="D14" s="1"/>
    </row>
    <row r="15" spans="1:6" x14ac:dyDescent="0.25">
      <c r="A15" s="1">
        <v>12</v>
      </c>
      <c r="B15" s="5">
        <v>1500</v>
      </c>
      <c r="C15" s="5"/>
      <c r="D15" s="1"/>
    </row>
    <row r="16" spans="1:6" x14ac:dyDescent="0.25">
      <c r="A16" s="1">
        <v>13</v>
      </c>
      <c r="B16" s="5"/>
      <c r="C16" s="5">
        <v>2000</v>
      </c>
      <c r="D16" s="1"/>
    </row>
    <row r="17" spans="1:4" x14ac:dyDescent="0.25">
      <c r="A17" s="1">
        <v>14</v>
      </c>
      <c r="B17" s="5"/>
      <c r="C17" s="5">
        <v>3680</v>
      </c>
      <c r="D17" s="1"/>
    </row>
    <row r="18" spans="1:4" x14ac:dyDescent="0.25">
      <c r="A18" s="1" t="s">
        <v>72</v>
      </c>
      <c r="B18" s="5">
        <f>SUM(B3:B17)</f>
        <v>6800</v>
      </c>
      <c r="C18" s="5">
        <f>SUM(C3:C17)</f>
        <v>60903.25</v>
      </c>
      <c r="D18" s="1"/>
    </row>
    <row r="19" spans="1:4" x14ac:dyDescent="0.25">
      <c r="A19" s="11" t="s">
        <v>116</v>
      </c>
      <c r="B19" s="109"/>
      <c r="C19" s="109">
        <f>C18-B18</f>
        <v>54103.25</v>
      </c>
      <c r="D19" s="1"/>
    </row>
    <row r="20" spans="1:4" x14ac:dyDescent="0.25">
      <c r="B20" s="23"/>
      <c r="C20" s="23"/>
    </row>
    <row r="21" spans="1:4" x14ac:dyDescent="0.25">
      <c r="B21" s="23"/>
      <c r="C21" s="23"/>
    </row>
    <row r="22" spans="1:4" x14ac:dyDescent="0.25">
      <c r="B22" s="23"/>
      <c r="C22" s="23"/>
    </row>
    <row r="23" spans="1:4" x14ac:dyDescent="0.25">
      <c r="A23" s="1" t="s">
        <v>117</v>
      </c>
      <c r="B23" s="5">
        <f>C19</f>
        <v>54103.25</v>
      </c>
      <c r="C23" s="5">
        <f>B23*0.265</f>
        <v>14337.36125</v>
      </c>
    </row>
    <row r="24" spans="1:4" x14ac:dyDescent="0.25">
      <c r="A24" s="1" t="s">
        <v>118</v>
      </c>
      <c r="B24" s="5">
        <f>B12</f>
        <v>5300</v>
      </c>
      <c r="C24" s="5">
        <f>B24*0.15</f>
        <v>795</v>
      </c>
    </row>
    <row r="25" spans="1:4" x14ac:dyDescent="0.25">
      <c r="A25" s="1" t="s">
        <v>119</v>
      </c>
      <c r="B25" s="5"/>
      <c r="C25" s="5">
        <v>-1500</v>
      </c>
    </row>
    <row r="26" spans="1:4" x14ac:dyDescent="0.25">
      <c r="A26" s="1" t="s">
        <v>120</v>
      </c>
      <c r="B26" s="5"/>
      <c r="C26" s="5">
        <f>-2000*0.6</f>
        <v>-1200</v>
      </c>
    </row>
    <row r="27" spans="1:4" x14ac:dyDescent="0.25">
      <c r="A27" s="11" t="s">
        <v>81</v>
      </c>
      <c r="B27" s="109"/>
      <c r="C27" s="109">
        <f>SUM(C23:C26)</f>
        <v>12432.36125</v>
      </c>
    </row>
    <row r="28" spans="1:4" x14ac:dyDescent="0.25">
      <c r="B28" s="23"/>
      <c r="C28" s="23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BFC30-3068-4E8C-92AA-6407FFC3279A}">
  <dimension ref="A3:D22"/>
  <sheetViews>
    <sheetView showGridLines="0" zoomScale="262" zoomScaleNormal="262" workbookViewId="0">
      <selection activeCell="A11" sqref="A11"/>
    </sheetView>
  </sheetViews>
  <sheetFormatPr baseColWidth="10" defaultRowHeight="15" x14ac:dyDescent="0.25"/>
  <cols>
    <col min="1" max="1" width="24.42578125" customWidth="1"/>
    <col min="2" max="3" width="11.85546875" bestFit="1" customWidth="1"/>
    <col min="4" max="4" width="13.140625" customWidth="1"/>
  </cols>
  <sheetData>
    <row r="3" spans="1:4" x14ac:dyDescent="0.25">
      <c r="A3" s="25" t="s">
        <v>126</v>
      </c>
    </row>
    <row r="4" spans="1:4" x14ac:dyDescent="0.25">
      <c r="A4" t="s">
        <v>132</v>
      </c>
    </row>
    <row r="6" spans="1:4" x14ac:dyDescent="0.25">
      <c r="A6" s="25" t="s">
        <v>127</v>
      </c>
    </row>
    <row r="7" spans="1:4" ht="28.5" customHeight="1" x14ac:dyDescent="0.25">
      <c r="A7" s="1"/>
      <c r="B7" s="14" t="s">
        <v>0</v>
      </c>
      <c r="C7" s="14" t="s">
        <v>1</v>
      </c>
      <c r="D7" s="24" t="s">
        <v>135</v>
      </c>
    </row>
    <row r="8" spans="1:4" x14ac:dyDescent="0.25">
      <c r="A8" s="1" t="s">
        <v>46</v>
      </c>
      <c r="B8" s="5"/>
      <c r="C8" s="5">
        <v>56200</v>
      </c>
      <c r="D8" s="1"/>
    </row>
    <row r="9" spans="1:4" x14ac:dyDescent="0.25">
      <c r="A9" s="1" t="s">
        <v>133</v>
      </c>
      <c r="B9" s="5">
        <v>18900</v>
      </c>
      <c r="C9" s="5">
        <f>+B9*0.05</f>
        <v>945</v>
      </c>
      <c r="D9" s="1"/>
    </row>
    <row r="10" spans="1:4" x14ac:dyDescent="0.25">
      <c r="A10" s="1" t="s">
        <v>134</v>
      </c>
      <c r="B10" s="5"/>
      <c r="C10" s="5"/>
      <c r="D10" s="14" t="s">
        <v>115</v>
      </c>
    </row>
    <row r="11" spans="1:4" x14ac:dyDescent="0.25">
      <c r="A11" s="1" t="s">
        <v>136</v>
      </c>
      <c r="B11" s="5"/>
      <c r="C11" s="5">
        <f>21200-(11200+(10000*0.7))</f>
        <v>3000</v>
      </c>
      <c r="D11" s="1"/>
    </row>
    <row r="12" spans="1:4" x14ac:dyDescent="0.25">
      <c r="A12" s="11" t="s">
        <v>47</v>
      </c>
      <c r="B12" s="21"/>
      <c r="C12" s="109">
        <f>SUM(C8:C11)</f>
        <v>60145</v>
      </c>
    </row>
    <row r="15" spans="1:4" x14ac:dyDescent="0.25">
      <c r="A15" s="25" t="s">
        <v>128</v>
      </c>
    </row>
    <row r="16" spans="1:4" x14ac:dyDescent="0.25">
      <c r="A16" t="s">
        <v>129</v>
      </c>
    </row>
    <row r="18" spans="1:2" x14ac:dyDescent="0.25">
      <c r="A18" s="25" t="s">
        <v>130</v>
      </c>
    </row>
    <row r="20" spans="1:2" x14ac:dyDescent="0.25">
      <c r="A20" s="1" t="s">
        <v>118</v>
      </c>
      <c r="B20" s="5">
        <f>38120*0.15</f>
        <v>5718</v>
      </c>
    </row>
    <row r="21" spans="1:2" x14ac:dyDescent="0.25">
      <c r="A21" s="1" t="s">
        <v>117</v>
      </c>
      <c r="B21" s="5">
        <f>(C12-38120)*0.265</f>
        <v>5836.625</v>
      </c>
    </row>
    <row r="22" spans="1:2" x14ac:dyDescent="0.25">
      <c r="A22" s="11" t="s">
        <v>131</v>
      </c>
      <c r="B22" s="109">
        <f>B20+B21</f>
        <v>11554.625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Exercice 1</vt:lpstr>
      <vt:lpstr>Exercice 2</vt:lpstr>
      <vt:lpstr>Exercice 3</vt:lpstr>
      <vt:lpstr>Exercice 4</vt:lpstr>
      <vt:lpstr>Exercice 5</vt:lpstr>
      <vt:lpstr>Exercice 6</vt:lpstr>
      <vt:lpstr>Exercice 7</vt:lpstr>
      <vt:lpstr>Exercice 8</vt:lpstr>
      <vt:lpstr>Exercice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 Eric</dc:creator>
  <cp:lastModifiedBy>NOEL Eric</cp:lastModifiedBy>
  <dcterms:created xsi:type="dcterms:W3CDTF">2022-01-13T11:01:50Z</dcterms:created>
  <dcterms:modified xsi:type="dcterms:W3CDTF">2022-02-07T11:08:42Z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2c2a479b-436d-4784-990b-b09241d52b47</vt:lpwstr>
  </property>
</Properties>
</file>