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ueve-my.sharepoint.com/personal/eric_noel_univ-evry_fr/Documents/BUT/Cours BUT2/CG2P/R4 CG2P09/Thème 3 La synthèse budgétaire/"/>
    </mc:Choice>
  </mc:AlternateContent>
  <xr:revisionPtr revIDLastSave="0" documentId="8_{3D2CCB46-DC38-4B34-A6D7-50B24BC2F7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ercice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2" l="1"/>
  <c r="C35" i="2"/>
  <c r="D44" i="2" l="1"/>
  <c r="C43" i="2"/>
  <c r="D43" i="2"/>
  <c r="B43" i="2"/>
  <c r="D45" i="2"/>
  <c r="C45" i="2"/>
  <c r="B48" i="2"/>
  <c r="B46" i="2"/>
  <c r="B26" i="2"/>
  <c r="B7" i="2"/>
  <c r="B27" i="2" l="1"/>
  <c r="B36" i="2" l="1"/>
  <c r="C17" i="2" l="1"/>
  <c r="C25" i="2" s="1"/>
  <c r="D17" i="2"/>
  <c r="D25" i="2" s="1"/>
  <c r="B17" i="2"/>
  <c r="B25" i="2" s="1"/>
  <c r="C12" i="2"/>
  <c r="C13" i="2" s="1"/>
  <c r="D12" i="2"/>
  <c r="D13" i="2" s="1"/>
  <c r="D14" i="2" s="1"/>
  <c r="B12" i="2"/>
  <c r="B13" i="2" s="1"/>
  <c r="L10" i="2" s="1"/>
  <c r="C21" i="2"/>
  <c r="C19" i="2"/>
  <c r="B20" i="2"/>
  <c r="C18" i="2"/>
  <c r="C7" i="2"/>
  <c r="L7" i="2" s="1"/>
  <c r="D7" i="2"/>
  <c r="L13" i="2" l="1"/>
  <c r="C48" i="2"/>
  <c r="C46" i="2"/>
  <c r="B22" i="2"/>
  <c r="C47" i="2"/>
  <c r="D18" i="2"/>
  <c r="L11" i="2" s="1"/>
  <c r="C20" i="2"/>
  <c r="D47" i="2" s="1"/>
  <c r="D21" i="2"/>
  <c r="D48" i="2" s="1"/>
  <c r="B8" i="2"/>
  <c r="B28" i="2"/>
  <c r="C49" i="2" s="1"/>
  <c r="D8" i="2"/>
  <c r="D34" i="2" s="1"/>
  <c r="D26" i="2"/>
  <c r="C14" i="2"/>
  <c r="C8" i="2"/>
  <c r="C26" i="2"/>
  <c r="B14" i="2"/>
  <c r="B56" i="2"/>
  <c r="D19" i="2"/>
  <c r="D46" i="2" s="1"/>
  <c r="C22" i="2"/>
  <c r="D35" i="2" l="1"/>
  <c r="C34" i="2"/>
  <c r="D36" i="2"/>
  <c r="D56" i="2" s="1"/>
  <c r="C36" i="2"/>
  <c r="C56" i="2" s="1"/>
  <c r="C27" i="2"/>
  <c r="C28" i="2" s="1"/>
  <c r="B50" i="2"/>
  <c r="B57" i="2" s="1"/>
  <c r="B58" i="2" s="1"/>
  <c r="C55" i="2" s="1"/>
  <c r="D27" i="2"/>
  <c r="D28" i="2" s="1"/>
  <c r="C50" i="2"/>
  <c r="C57" i="2" s="1"/>
  <c r="D20" i="2"/>
  <c r="L12" i="2" s="1"/>
  <c r="L14" i="2" s="1"/>
  <c r="L16" i="2" s="1"/>
  <c r="D49" i="2" l="1"/>
  <c r="D50" i="2" s="1"/>
  <c r="D57" i="2" s="1"/>
  <c r="C58" i="2"/>
  <c r="D55" i="2" s="1"/>
  <c r="D22" i="2"/>
  <c r="D5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7" authorId="0" shapeId="0" xr:uid="{39516BBF-08C6-436C-9AB7-7AEA976E0B5A}">
      <text>
        <r>
          <rPr>
            <b/>
            <sz val="9"/>
            <color indexed="81"/>
            <rFont val="Tahoma"/>
            <charset val="1"/>
          </rPr>
          <t>70*11800 = 826000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3" authorId="0" shapeId="0" xr:uid="{B83D8D6D-9166-4CC6-8635-920941BDA5F3}">
      <text>
        <r>
          <rPr>
            <b/>
            <sz val="9"/>
            <color indexed="81"/>
            <rFont val="Tahoma"/>
            <charset val="1"/>
          </rPr>
          <t>70*6500 = 455 000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220 000 * 80%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6" authorId="0" shapeId="0" xr:uid="{B83981E4-0586-4B6B-8BF0-90F1C965B9E1}">
      <text>
        <r>
          <rPr>
            <b/>
            <sz val="9"/>
            <color indexed="81"/>
            <rFont val="Tahoma"/>
            <family val="2"/>
          </rPr>
          <t>826 000 *20% = 165200€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7" authorId="0" shapeId="0" xr:uid="{16278135-1144-42F2-8691-4DBA8A31F824}">
      <text>
        <r>
          <rPr>
            <b/>
            <sz val="9"/>
            <color indexed="81"/>
            <rFont val="Tahoma"/>
            <family val="2"/>
          </rPr>
          <t>(455000+45000)*20% = 100000€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4" authorId="0" shapeId="0" xr:uid="{7629ED77-8E59-453E-BBA1-EFF4DC980A41}">
      <text>
        <r>
          <rPr>
            <b/>
            <sz val="9"/>
            <color indexed="81"/>
            <rFont val="Tahoma"/>
            <family val="2"/>
          </rPr>
          <t>991200*20% : 198240€</t>
        </r>
      </text>
    </comment>
    <comment ref="C35" authorId="0" shapeId="0" xr:uid="{D68EE13F-52ED-4A26-B5AD-EB8D900C90BC}">
      <text>
        <r>
          <rPr>
            <b/>
            <sz val="9"/>
            <color indexed="81"/>
            <rFont val="Tahoma"/>
            <family val="2"/>
          </rPr>
          <t>991200*80% : 792960€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3" authorId="0" shapeId="0" xr:uid="{21EED265-0FBE-4738-BF4E-F7530A9138A9}">
      <text>
        <r>
          <rPr>
            <b/>
            <sz val="9"/>
            <color indexed="81"/>
            <rFont val="Tahoma"/>
            <charset val="1"/>
          </rPr>
          <t>546000 * 40%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44" authorId="0" shapeId="0" xr:uid="{AF1FAF3B-88A7-4A2A-9442-F00234FDA90C}">
      <text>
        <r>
          <rPr>
            <b/>
            <sz val="9"/>
            <color indexed="81"/>
            <rFont val="Tahoma"/>
            <charset val="1"/>
          </rPr>
          <t>546000*60%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45" authorId="0" shapeId="0" xr:uid="{6E539FFD-31AD-4324-A7B8-AA56E93B3BA9}">
      <text>
        <r>
          <rPr>
            <b/>
            <sz val="9"/>
            <color indexed="81"/>
            <rFont val="Tahoma"/>
            <charset val="1"/>
          </rPr>
          <t>Services extérieurs d'Avril valorisés TTC  (45000*1,20) : 54000€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47" authorId="0" shapeId="0" xr:uid="{429E812A-25CD-4CC1-A7E6-F92BAB175F2F}">
      <text>
        <r>
          <rPr>
            <b/>
            <sz val="9"/>
            <color indexed="81"/>
            <rFont val="Tahoma"/>
            <charset val="1"/>
          </rPr>
          <t>Charges sociales d'Avril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49" authorId="0" shapeId="0" xr:uid="{4074FFC7-78F1-4C49-9468-31858AA623E8}">
      <text>
        <r>
          <rPr>
            <b/>
            <sz val="9"/>
            <color indexed="81"/>
            <rFont val="Tahoma"/>
            <charset val="1"/>
          </rPr>
          <t>TVA du mois de Mars</t>
        </r>
      </text>
    </comment>
    <comment ref="B55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Solde bancaire au 31/03
</t>
        </r>
      </text>
    </comment>
  </commentList>
</comments>
</file>

<file path=xl/sharedStrings.xml><?xml version="1.0" encoding="utf-8"?>
<sst xmlns="http://schemas.openxmlformats.org/spreadsheetml/2006/main" count="70" uniqueCount="48">
  <si>
    <t>Charges sociales</t>
  </si>
  <si>
    <t>J</t>
  </si>
  <si>
    <t>M</t>
  </si>
  <si>
    <t>A</t>
  </si>
  <si>
    <t>CA HT</t>
  </si>
  <si>
    <t>TOTAL</t>
  </si>
  <si>
    <t>BUDGET DE TRESORERIE</t>
  </si>
  <si>
    <t>BUDGET DES ENCAISSEMENTS</t>
  </si>
  <si>
    <t>Créances clients au bilan</t>
  </si>
  <si>
    <t>BUDGET DES DECAISSEMENTS</t>
  </si>
  <si>
    <t>Dettes Frs au bilan</t>
  </si>
  <si>
    <t>Dettes sociales au bilan</t>
  </si>
  <si>
    <t>Salaires nets</t>
  </si>
  <si>
    <t>TVA à décaisser</t>
  </si>
  <si>
    <t>Encaissements</t>
  </si>
  <si>
    <t>Décaissements</t>
  </si>
  <si>
    <t>Solde Initial</t>
  </si>
  <si>
    <t>PV HT</t>
  </si>
  <si>
    <t>PA HT</t>
  </si>
  <si>
    <t>CA TTC</t>
  </si>
  <si>
    <t>Quantité</t>
  </si>
  <si>
    <t>Achats HT</t>
  </si>
  <si>
    <t>Achat TTC</t>
  </si>
  <si>
    <t>S. Extérieurs</t>
  </si>
  <si>
    <t>Loyer</t>
  </si>
  <si>
    <t>BUDGET DE TVA</t>
  </si>
  <si>
    <t xml:space="preserve">Comptant </t>
  </si>
  <si>
    <t xml:space="preserve">A 30 jours </t>
  </si>
  <si>
    <t>Achats comptant</t>
  </si>
  <si>
    <t>Achat à 60 jours</t>
  </si>
  <si>
    <t>Services Extérieurs 30j</t>
  </si>
  <si>
    <t>Solde Final (SI + E - D)</t>
  </si>
  <si>
    <t>BUDGET DES AUTRES CHARGES HT</t>
  </si>
  <si>
    <t>BUDGET DES VENTES</t>
  </si>
  <si>
    <t>BUDGET DES ACHATS</t>
  </si>
  <si>
    <t xml:space="preserve">  -&gt;  Budget des encaissements</t>
  </si>
  <si>
    <t xml:space="preserve"> -&gt; Budget des décaissements</t>
  </si>
  <si>
    <t>TVA COLLECTEE (1)</t>
  </si>
  <si>
    <t>TVA DEDUCTIBLE (2)</t>
  </si>
  <si>
    <t>TVA A DECAISSER (1) - (2)</t>
  </si>
  <si>
    <t>-&gt; Budget des décaissements</t>
  </si>
  <si>
    <t>Chifrre d'affaires</t>
  </si>
  <si>
    <t>Résultat du trimestre (A-M-J)</t>
  </si>
  <si>
    <t>Charges</t>
  </si>
  <si>
    <t>Achats</t>
  </si>
  <si>
    <t>Charges de personnel</t>
  </si>
  <si>
    <t>TOTAL CHARGES</t>
  </si>
  <si>
    <t>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</si>
</sst>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/>
    <xf numFmtId="44" fontId="0" fillId="0" borderId="0" xfId="0" applyNumberFormat="1"/>
    <xf numFmtId="44" fontId="0" fillId="0" borderId="1" xfId="0" applyNumberFormat="1" applyBorder="1"/>
    <xf numFmtId="0" fontId="2" fillId="0" borderId="1" xfId="0" applyFont="1" applyBorder="1"/>
    <xf numFmtId="44" fontId="2" fillId="0" borderId="1" xfId="0" applyNumberFormat="1" applyFont="1" applyBorder="1"/>
    <xf numFmtId="44" fontId="0" fillId="0" borderId="1" xfId="1" applyFont="1" applyBorder="1" applyAlignment="1"/>
    <xf numFmtId="0" fontId="2" fillId="0" borderId="0" xfId="0" applyFont="1" applyAlignment="1">
      <alignment horizontal="center"/>
    </xf>
    <xf numFmtId="44" fontId="5" fillId="0" borderId="1" xfId="1" applyFont="1" applyBorder="1"/>
    <xf numFmtId="0" fontId="5" fillId="0" borderId="0" xfId="0" applyFont="1"/>
    <xf numFmtId="44" fontId="7" fillId="0" borderId="1" xfId="0" applyNumberFormat="1" applyFont="1" applyBorder="1"/>
    <xf numFmtId="44" fontId="0" fillId="2" borderId="1" xfId="1" applyFont="1" applyFill="1" applyBorder="1"/>
    <xf numFmtId="44" fontId="5" fillId="0" borderId="1" xfId="1" applyFont="1" applyFill="1" applyBorder="1"/>
    <xf numFmtId="44" fontId="0" fillId="0" borderId="1" xfId="1" applyFont="1" applyFill="1" applyBorder="1" applyAlignment="1"/>
    <xf numFmtId="0" fontId="0" fillId="3" borderId="0" xfId="0" applyFill="1"/>
    <xf numFmtId="0" fontId="0" fillId="4" borderId="0" xfId="0" applyFill="1"/>
    <xf numFmtId="44" fontId="0" fillId="0" borderId="1" xfId="1" applyFont="1" applyFill="1" applyBorder="1"/>
    <xf numFmtId="0" fontId="0" fillId="0" borderId="0" xfId="0" quotePrefix="1"/>
    <xf numFmtId="44" fontId="5" fillId="5" borderId="1" xfId="1" applyFont="1" applyFill="1" applyBorder="1"/>
    <xf numFmtId="44" fontId="5" fillId="6" borderId="1" xfId="1" applyFont="1" applyFill="1" applyBorder="1"/>
    <xf numFmtId="0" fontId="6" fillId="0" borderId="1" xfId="0" applyFont="1" applyBorder="1"/>
    <xf numFmtId="44" fontId="6" fillId="0" borderId="1" xfId="0" applyNumberFormat="1" applyFont="1" applyBorder="1"/>
    <xf numFmtId="44" fontId="10" fillId="0" borderId="1" xfId="0" applyNumberFormat="1" applyFont="1" applyBorder="1"/>
    <xf numFmtId="0" fontId="0" fillId="7" borderId="1" xfId="0" applyFill="1" applyBorder="1"/>
    <xf numFmtId="44" fontId="0" fillId="7" borderId="1" xfId="1" applyFont="1" applyFill="1" applyBorder="1"/>
    <xf numFmtId="44" fontId="0" fillId="7" borderId="1" xfId="0" applyNumberFormat="1" applyFill="1" applyBorder="1"/>
    <xf numFmtId="44" fontId="0" fillId="0" borderId="0" xfId="1" applyFont="1"/>
    <xf numFmtId="0" fontId="5" fillId="8" borderId="1" xfId="0" applyFont="1" applyFill="1" applyBorder="1"/>
    <xf numFmtId="44" fontId="5" fillId="8" borderId="1" xfId="1" applyFont="1" applyFill="1" applyBorder="1"/>
    <xf numFmtId="44" fontId="0" fillId="5" borderId="1" xfId="1" applyFont="1" applyFill="1" applyBorder="1"/>
    <xf numFmtId="44" fontId="0" fillId="6" borderId="1" xfId="1" applyFont="1" applyFill="1" applyBorder="1"/>
    <xf numFmtId="0" fontId="5" fillId="0" borderId="1" xfId="0" applyFont="1" applyBorder="1"/>
    <xf numFmtId="44" fontId="5" fillId="0" borderId="1" xfId="0" applyNumberFormat="1" applyFont="1" applyBorder="1"/>
    <xf numFmtId="0" fontId="2" fillId="0" borderId="0" xfId="0" applyFont="1"/>
    <xf numFmtId="44" fontId="2" fillId="0" borderId="0" xfId="0" applyNumberFormat="1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1021080</xdr:colOff>
      <xdr:row>54</xdr:row>
      <xdr:rowOff>133350</xdr:rowOff>
    </xdr:from>
    <xdr:to>
      <xdr:col>3</xdr:col>
      <xdr:colOff>270510</xdr:colOff>
      <xdr:row>57</xdr:row>
      <xdr:rowOff>80010</xdr:rowOff>
    </xdr:to>
    <xdr:cxnSp macro="">
      <xdr:nvCxnSpPr>
        <xdr:cNvPr id="3" name="Connecteur droit avec flèch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3710940" y="10008870"/>
          <a:ext cx="300990" cy="495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990600</xdr:colOff>
      <xdr:row>54</xdr:row>
      <xdr:rowOff>144780</xdr:rowOff>
    </xdr:from>
    <xdr:to>
      <xdr:col>2</xdr:col>
      <xdr:colOff>255270</xdr:colOff>
      <xdr:row>57</xdr:row>
      <xdr:rowOff>91440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644140" y="10020300"/>
          <a:ext cx="300990" cy="4953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177585</xdr:colOff>
      <xdr:row>59</xdr:row>
      <xdr:rowOff>72648</xdr:rowOff>
    </xdr:from>
    <xdr:to>
      <xdr:col>2</xdr:col>
      <xdr:colOff>1009005</xdr:colOff>
      <xdr:row>70</xdr:row>
      <xdr:rowOff>145296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FE29A522-D278-4F10-8F80-B20D5084584E}"/>
            </a:ext>
          </a:extLst>
        </xdr:cNvPr>
        <xdr:cNvSpPr txBox="1"/>
      </xdr:nvSpPr>
      <xdr:spPr>
        <a:xfrm>
          <a:off x="177585" y="10969894"/>
          <a:ext cx="3446759" cy="22036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-Diminuer</a:t>
          </a:r>
          <a:r>
            <a:rPr lang="fr-FR" sz="1100" baseline="0"/>
            <a:t> le déla de règlement client</a:t>
          </a:r>
        </a:p>
        <a:p>
          <a:r>
            <a:rPr lang="fr-FR" sz="1100" baseline="0"/>
            <a:t>-Augmenter le délai de règlement de fournisseur</a:t>
          </a:r>
        </a:p>
        <a:p>
          <a:endParaRPr lang="fr-FR" sz="1100" baseline="0"/>
        </a:p>
        <a:p>
          <a:r>
            <a:rPr lang="fr-FR" sz="1100"/>
            <a:t>Client : </a:t>
          </a:r>
        </a:p>
        <a:p>
          <a:r>
            <a:rPr lang="fr-FR" sz="1100"/>
            <a:t>	- Chèque</a:t>
          </a:r>
        </a:p>
        <a:p>
          <a:r>
            <a:rPr lang="fr-FR" sz="1100"/>
            <a:t>	-Virement</a:t>
          </a:r>
        </a:p>
        <a:p>
          <a:r>
            <a:rPr lang="fr-FR" sz="1100"/>
            <a:t>	</a:t>
          </a:r>
          <a:r>
            <a:rPr lang="fr-FR" sz="1100" b="1"/>
            <a:t>-Lettre de change</a:t>
          </a:r>
        </a:p>
        <a:p>
          <a:endParaRPr lang="fr-FR" sz="1100"/>
        </a:p>
        <a:p>
          <a:r>
            <a:rPr lang="fr-FR" sz="1100" b="1"/>
            <a:t>Affacturage</a:t>
          </a:r>
          <a:r>
            <a:rPr lang="fr-FR" sz="1100" b="1" baseline="0"/>
            <a:t> </a:t>
          </a:r>
        </a:p>
        <a:p>
          <a:endParaRPr lang="fr-FR" sz="1100" b="1" baseline="0"/>
        </a:p>
        <a:p>
          <a:r>
            <a:rPr lang="fr-FR" sz="1100" b="1" baseline="0"/>
            <a:t>Découvert autorisé</a:t>
          </a:r>
        </a:p>
        <a:p>
          <a:endParaRPr lang="fr-FR" sz="1100" b="1"/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"/>
  <sheetViews>
    <sheetView showGridLines="0" tabSelected="1" topLeftCell="A33" zoomScale="118" zoomScaleNormal="118" workbookViewId="0">
      <selection activeCell="K49" sqref="K49"/>
    </sheetView>
  </sheetViews>
  <sheetFormatPr baseColWidth="10" defaultRowHeight="15" x14ac:dyDescent="0.25"/>
  <cols>
    <col min="1" max="1" width="24.140625" bestFit="1" customWidth="1"/>
    <col min="2" max="2" width="15.140625" bestFit="1" customWidth="1"/>
    <col min="3" max="3" width="16" bestFit="1" customWidth="1"/>
    <col min="4" max="4" width="16.7109375" customWidth="1"/>
    <col min="11" max="11" width="19.42578125" customWidth="1"/>
    <col min="12" max="12" width="15.140625" bestFit="1" customWidth="1"/>
  </cols>
  <sheetData>
    <row r="1" spans="1:12" x14ac:dyDescent="0.25">
      <c r="A1" s="17" t="s">
        <v>17</v>
      </c>
      <c r="B1" s="17">
        <v>11800</v>
      </c>
    </row>
    <row r="2" spans="1:12" x14ac:dyDescent="0.25">
      <c r="A2" s="16" t="s">
        <v>18</v>
      </c>
      <c r="B2" s="16">
        <v>6500</v>
      </c>
    </row>
    <row r="4" spans="1:12" x14ac:dyDescent="0.25">
      <c r="A4" s="40" t="s">
        <v>33</v>
      </c>
      <c r="B4" s="40"/>
      <c r="C4" s="40"/>
      <c r="D4" s="40"/>
    </row>
    <row r="5" spans="1:12" x14ac:dyDescent="0.25">
      <c r="A5" s="1"/>
      <c r="B5" s="2" t="s">
        <v>3</v>
      </c>
      <c r="C5" s="2" t="s">
        <v>2</v>
      </c>
      <c r="D5" s="2" t="s">
        <v>1</v>
      </c>
      <c r="K5" s="37" t="s">
        <v>42</v>
      </c>
      <c r="L5" s="37"/>
    </row>
    <row r="6" spans="1:12" x14ac:dyDescent="0.25">
      <c r="A6" s="1" t="s">
        <v>20</v>
      </c>
      <c r="B6" s="2">
        <v>70</v>
      </c>
      <c r="C6" s="2">
        <v>105</v>
      </c>
      <c r="D6" s="2">
        <v>135</v>
      </c>
    </row>
    <row r="7" spans="1:12" ht="13.5" customHeight="1" x14ac:dyDescent="0.25">
      <c r="A7" s="1" t="s">
        <v>4</v>
      </c>
      <c r="B7" s="18">
        <f>70*11800</f>
        <v>826000</v>
      </c>
      <c r="C7" s="18">
        <f t="shared" ref="C7:D7" si="0">$B$1*C6</f>
        <v>1239000</v>
      </c>
      <c r="D7" s="18">
        <f t="shared" si="0"/>
        <v>1593000</v>
      </c>
      <c r="K7" t="s">
        <v>41</v>
      </c>
      <c r="L7" s="4">
        <f>SUM(B7:D7)</f>
        <v>3658000</v>
      </c>
    </row>
    <row r="8" spans="1:12" x14ac:dyDescent="0.25">
      <c r="A8" s="22" t="s">
        <v>19</v>
      </c>
      <c r="B8" s="23">
        <f>B7*1.2</f>
        <v>991200</v>
      </c>
      <c r="C8" s="24">
        <f t="shared" ref="C8:D8" si="1">C7*1.2</f>
        <v>1486800</v>
      </c>
      <c r="D8" s="23">
        <f t="shared" si="1"/>
        <v>1911600</v>
      </c>
      <c r="E8" t="s">
        <v>35</v>
      </c>
    </row>
    <row r="9" spans="1:12" x14ac:dyDescent="0.25">
      <c r="C9" s="4"/>
      <c r="K9" t="s">
        <v>43</v>
      </c>
    </row>
    <row r="10" spans="1:12" ht="12.75" customHeight="1" x14ac:dyDescent="0.25">
      <c r="A10" s="39" t="s">
        <v>34</v>
      </c>
      <c r="B10" s="39"/>
      <c r="C10" s="39"/>
      <c r="D10" s="39"/>
      <c r="K10" t="s">
        <v>44</v>
      </c>
      <c r="L10" s="4">
        <f>SUM(B13:D13)</f>
        <v>2015000</v>
      </c>
    </row>
    <row r="11" spans="1:12" ht="12.75" customHeight="1" x14ac:dyDescent="0.25">
      <c r="A11" s="1"/>
      <c r="B11" s="2" t="s">
        <v>3</v>
      </c>
      <c r="C11" s="2" t="s">
        <v>2</v>
      </c>
      <c r="D11" s="2" t="s">
        <v>1</v>
      </c>
      <c r="K11" t="s">
        <v>23</v>
      </c>
      <c r="L11" s="4">
        <f>SUM(B18:D18)</f>
        <v>135000</v>
      </c>
    </row>
    <row r="12" spans="1:12" ht="12.75" customHeight="1" x14ac:dyDescent="0.25">
      <c r="A12" s="1" t="s">
        <v>20</v>
      </c>
      <c r="B12" s="2">
        <f>B6</f>
        <v>70</v>
      </c>
      <c r="C12" s="2">
        <f t="shared" ref="C12:D12" si="2">C6</f>
        <v>105</v>
      </c>
      <c r="D12" s="2">
        <f t="shared" si="2"/>
        <v>135</v>
      </c>
      <c r="K12" t="s">
        <v>45</v>
      </c>
      <c r="L12" s="4">
        <f>SUM(B19:D20)</f>
        <v>1188000</v>
      </c>
    </row>
    <row r="13" spans="1:12" ht="12.75" customHeight="1" x14ac:dyDescent="0.25">
      <c r="A13" s="1" t="s">
        <v>21</v>
      </c>
      <c r="B13" s="18">
        <f>+B12*$B$2</f>
        <v>455000</v>
      </c>
      <c r="C13" s="18">
        <f t="shared" ref="C13:D13" si="3">+C12*$B$2</f>
        <v>682500</v>
      </c>
      <c r="D13" s="18">
        <f t="shared" si="3"/>
        <v>877500</v>
      </c>
      <c r="K13" t="s">
        <v>24</v>
      </c>
      <c r="L13" s="4">
        <f>SUM(B21:D21)</f>
        <v>22500</v>
      </c>
    </row>
    <row r="14" spans="1:12" ht="12.75" customHeight="1" x14ac:dyDescent="0.25">
      <c r="A14" s="22" t="s">
        <v>22</v>
      </c>
      <c r="B14" s="23">
        <f>B13*1.2</f>
        <v>546000</v>
      </c>
      <c r="C14" s="23">
        <f t="shared" ref="C14" si="4">C13*1.2</f>
        <v>819000</v>
      </c>
      <c r="D14" s="23">
        <f t="shared" ref="D14" si="5">D13*1.2</f>
        <v>1053000</v>
      </c>
      <c r="E14" t="s">
        <v>36</v>
      </c>
      <c r="K14" t="s">
        <v>46</v>
      </c>
      <c r="L14" s="28">
        <f>SUM(L9:L13)</f>
        <v>3360500</v>
      </c>
    </row>
    <row r="15" spans="1:12" ht="12.75" customHeight="1" x14ac:dyDescent="0.25"/>
    <row r="16" spans="1:12" ht="12.75" customHeight="1" x14ac:dyDescent="0.25">
      <c r="A16" s="39" t="s">
        <v>32</v>
      </c>
      <c r="B16" s="39"/>
      <c r="C16" s="39"/>
      <c r="D16" s="39"/>
      <c r="K16" s="35" t="s">
        <v>47</v>
      </c>
      <c r="L16" s="36">
        <f>L7-L14</f>
        <v>297500</v>
      </c>
    </row>
    <row r="17" spans="1:5" ht="12.75" customHeight="1" x14ac:dyDescent="0.25">
      <c r="A17" s="1"/>
      <c r="B17" s="2" t="str">
        <f>B11</f>
        <v>A</v>
      </c>
      <c r="C17" s="2" t="str">
        <f t="shared" ref="C17:D17" si="6">C11</f>
        <v>M</v>
      </c>
      <c r="D17" s="2" t="str">
        <f t="shared" si="6"/>
        <v>J</v>
      </c>
    </row>
    <row r="18" spans="1:5" ht="12.75" customHeight="1" x14ac:dyDescent="0.25">
      <c r="A18" s="1" t="s">
        <v>23</v>
      </c>
      <c r="B18" s="18">
        <v>45000</v>
      </c>
      <c r="C18" s="18">
        <f>B18</f>
        <v>45000</v>
      </c>
      <c r="D18" s="18">
        <f>C18</f>
        <v>45000</v>
      </c>
    </row>
    <row r="19" spans="1:5" ht="12.75" customHeight="1" x14ac:dyDescent="0.25">
      <c r="A19" s="25" t="s">
        <v>12</v>
      </c>
      <c r="B19" s="26">
        <v>220000</v>
      </c>
      <c r="C19" s="26">
        <f>B19</f>
        <v>220000</v>
      </c>
      <c r="D19" s="26">
        <f>C19</f>
        <v>220000</v>
      </c>
    </row>
    <row r="20" spans="1:5" ht="12.75" customHeight="1" x14ac:dyDescent="0.25">
      <c r="A20" s="25" t="s">
        <v>0</v>
      </c>
      <c r="B20" s="27">
        <f>B19*0.8</f>
        <v>176000</v>
      </c>
      <c r="C20" s="27">
        <f t="shared" ref="C20:D20" si="7">C19*0.8</f>
        <v>176000</v>
      </c>
      <c r="D20" s="27">
        <f t="shared" si="7"/>
        <v>176000</v>
      </c>
    </row>
    <row r="21" spans="1:5" ht="12.75" customHeight="1" x14ac:dyDescent="0.25">
      <c r="A21" s="25" t="s">
        <v>24</v>
      </c>
      <c r="B21" s="26">
        <v>7500</v>
      </c>
      <c r="C21" s="26">
        <f>B21</f>
        <v>7500</v>
      </c>
      <c r="D21" s="26">
        <f>C21</f>
        <v>7500</v>
      </c>
    </row>
    <row r="22" spans="1:5" ht="12.75" customHeight="1" x14ac:dyDescent="0.25">
      <c r="A22" s="6" t="s">
        <v>5</v>
      </c>
      <c r="B22" s="7">
        <f>SUM(B18:B21)</f>
        <v>448500</v>
      </c>
      <c r="C22" s="7">
        <f t="shared" ref="C22:D22" si="8">SUM(C18:C21)</f>
        <v>448500</v>
      </c>
      <c r="D22" s="7">
        <f t="shared" si="8"/>
        <v>448500</v>
      </c>
    </row>
    <row r="23" spans="1:5" ht="12.75" customHeight="1" x14ac:dyDescent="0.25"/>
    <row r="24" spans="1:5" ht="12.75" customHeight="1" x14ac:dyDescent="0.25">
      <c r="A24" s="39" t="s">
        <v>25</v>
      </c>
      <c r="B24" s="39"/>
      <c r="C24" s="39"/>
      <c r="D24" s="39"/>
    </row>
    <row r="25" spans="1:5" ht="12.75" customHeight="1" x14ac:dyDescent="0.25">
      <c r="A25" s="1"/>
      <c r="B25" s="2" t="str">
        <f>B17</f>
        <v>A</v>
      </c>
      <c r="C25" s="2" t="str">
        <f t="shared" ref="C25:D25" si="9">C17</f>
        <v>M</v>
      </c>
      <c r="D25" s="2" t="str">
        <f t="shared" si="9"/>
        <v>J</v>
      </c>
    </row>
    <row r="26" spans="1:5" ht="12.75" customHeight="1" x14ac:dyDescent="0.25">
      <c r="A26" s="1" t="s">
        <v>37</v>
      </c>
      <c r="B26" s="3">
        <f>826000*0.2</f>
        <v>165200</v>
      </c>
      <c r="C26" s="3">
        <f t="shared" ref="C26:D26" si="10">C7*20%</f>
        <v>247800</v>
      </c>
      <c r="D26" s="3">
        <f t="shared" si="10"/>
        <v>318600</v>
      </c>
    </row>
    <row r="27" spans="1:5" ht="12.75" customHeight="1" x14ac:dyDescent="0.25">
      <c r="A27" s="1" t="s">
        <v>38</v>
      </c>
      <c r="B27" s="3">
        <f>(455000+45000)*20%</f>
        <v>100000</v>
      </c>
      <c r="C27" s="3">
        <f t="shared" ref="C27:D27" si="11">(C14-C13)+(C18*0.2)</f>
        <v>145500</v>
      </c>
      <c r="D27" s="3">
        <f t="shared" si="11"/>
        <v>184500</v>
      </c>
    </row>
    <row r="28" spans="1:5" ht="21" customHeight="1" x14ac:dyDescent="0.25">
      <c r="A28" s="1" t="s">
        <v>39</v>
      </c>
      <c r="B28" s="5">
        <f>B26-B27</f>
        <v>65200</v>
      </c>
      <c r="C28" s="5">
        <f t="shared" ref="C28:D28" si="12">C26-C27</f>
        <v>102300</v>
      </c>
      <c r="D28" s="5">
        <f t="shared" si="12"/>
        <v>134100</v>
      </c>
      <c r="E28" s="19" t="s">
        <v>40</v>
      </c>
    </row>
    <row r="30" spans="1:5" x14ac:dyDescent="0.25">
      <c r="A30" s="1" t="s">
        <v>19</v>
      </c>
      <c r="B30" s="31">
        <v>991200</v>
      </c>
      <c r="C30" s="32">
        <v>1486800</v>
      </c>
      <c r="D30" s="3">
        <v>1911600</v>
      </c>
    </row>
    <row r="31" spans="1:5" x14ac:dyDescent="0.25">
      <c r="A31" s="39" t="s">
        <v>7</v>
      </c>
      <c r="B31" s="39"/>
      <c r="C31" s="39"/>
      <c r="D31" s="39"/>
    </row>
    <row r="32" spans="1:5" x14ac:dyDescent="0.25">
      <c r="A32" s="1"/>
      <c r="B32" s="2" t="s">
        <v>3</v>
      </c>
      <c r="C32" s="2" t="s">
        <v>2</v>
      </c>
      <c r="D32" s="2" t="s">
        <v>1</v>
      </c>
    </row>
    <row r="33" spans="1:4" x14ac:dyDescent="0.25">
      <c r="A33" s="29" t="s">
        <v>8</v>
      </c>
      <c r="B33" s="30">
        <v>680000</v>
      </c>
      <c r="C33" s="10"/>
      <c r="D33" s="10"/>
    </row>
    <row r="34" spans="1:4" x14ac:dyDescent="0.25">
      <c r="A34" s="3" t="s">
        <v>26</v>
      </c>
      <c r="B34" s="20">
        <f>991200*20%</f>
        <v>198240</v>
      </c>
      <c r="C34" s="21">
        <f t="shared" ref="C34:D34" si="13">C8*0.2</f>
        <v>297360</v>
      </c>
      <c r="D34" s="10">
        <f t="shared" si="13"/>
        <v>382320</v>
      </c>
    </row>
    <row r="35" spans="1:4" x14ac:dyDescent="0.25">
      <c r="A35" s="3" t="s">
        <v>27</v>
      </c>
      <c r="B35" s="11"/>
      <c r="C35" s="20">
        <f>991200*80%</f>
        <v>792960</v>
      </c>
      <c r="D35" s="21">
        <f t="shared" ref="D35" si="14">C8*0.8</f>
        <v>1189440</v>
      </c>
    </row>
    <row r="36" spans="1:4" x14ac:dyDescent="0.25">
      <c r="A36" s="6" t="s">
        <v>5</v>
      </c>
      <c r="B36" s="12">
        <f>SUM(B33:B35)</f>
        <v>878240</v>
      </c>
      <c r="C36" s="12">
        <f t="shared" ref="C36:D36" si="15">SUM(C33:C35)</f>
        <v>1090320</v>
      </c>
      <c r="D36" s="12">
        <f t="shared" si="15"/>
        <v>1571760</v>
      </c>
    </row>
    <row r="38" spans="1:4" x14ac:dyDescent="0.25">
      <c r="A38" t="s">
        <v>22</v>
      </c>
      <c r="B38" s="28">
        <v>546000</v>
      </c>
      <c r="C38" s="28">
        <v>819000</v>
      </c>
      <c r="D38" s="28">
        <v>1053000</v>
      </c>
    </row>
    <row r="39" spans="1:4" x14ac:dyDescent="0.25">
      <c r="A39" s="39" t="s">
        <v>9</v>
      </c>
      <c r="B39" s="39"/>
      <c r="C39" s="39"/>
      <c r="D39" s="39"/>
    </row>
    <row r="40" spans="1:4" x14ac:dyDescent="0.25">
      <c r="A40" s="1"/>
      <c r="B40" s="2" t="s">
        <v>3</v>
      </c>
      <c r="C40" s="2" t="s">
        <v>2</v>
      </c>
      <c r="D40" s="2" t="s">
        <v>1</v>
      </c>
    </row>
    <row r="41" spans="1:4" x14ac:dyDescent="0.25">
      <c r="A41" s="1" t="s">
        <v>10</v>
      </c>
      <c r="B41" s="14"/>
      <c r="C41" s="14">
        <v>466400</v>
      </c>
      <c r="D41" s="14"/>
    </row>
    <row r="42" spans="1:4" x14ac:dyDescent="0.25">
      <c r="A42" s="15" t="s">
        <v>11</v>
      </c>
      <c r="B42" s="14">
        <v>170000</v>
      </c>
      <c r="C42" s="14"/>
      <c r="D42" s="14"/>
    </row>
    <row r="43" spans="1:4" x14ac:dyDescent="0.25">
      <c r="A43" s="18" t="s">
        <v>28</v>
      </c>
      <c r="B43" s="34">
        <f>B38*0.4</f>
        <v>218400</v>
      </c>
      <c r="C43" s="34">
        <f t="shared" ref="C43:D43" si="16">C38*0.4</f>
        <v>327600</v>
      </c>
      <c r="D43" s="34">
        <f t="shared" si="16"/>
        <v>421200</v>
      </c>
    </row>
    <row r="44" spans="1:4" x14ac:dyDescent="0.25">
      <c r="A44" s="1" t="s">
        <v>29</v>
      </c>
      <c r="B44" s="14"/>
      <c r="C44" s="33"/>
      <c r="D44" s="14">
        <f>B38*0.6</f>
        <v>327600</v>
      </c>
    </row>
    <row r="45" spans="1:4" x14ac:dyDescent="0.25">
      <c r="A45" s="1" t="s">
        <v>30</v>
      </c>
      <c r="B45" s="14"/>
      <c r="C45" s="14">
        <f>45000*1.2</f>
        <v>54000</v>
      </c>
      <c r="D45" s="14">
        <f>45000*1.2</f>
        <v>54000</v>
      </c>
    </row>
    <row r="46" spans="1:4" x14ac:dyDescent="0.25">
      <c r="A46" s="1" t="s">
        <v>12</v>
      </c>
      <c r="B46" s="14">
        <f>B19</f>
        <v>220000</v>
      </c>
      <c r="C46" s="14">
        <f t="shared" ref="C46:D46" si="17">C19</f>
        <v>220000</v>
      </c>
      <c r="D46" s="14">
        <f t="shared" si="17"/>
        <v>220000</v>
      </c>
    </row>
    <row r="47" spans="1:4" x14ac:dyDescent="0.25">
      <c r="A47" s="1" t="s">
        <v>0</v>
      </c>
      <c r="B47" s="14"/>
      <c r="C47" s="14">
        <f>B20</f>
        <v>176000</v>
      </c>
      <c r="D47" s="14">
        <f>C20</f>
        <v>176000</v>
      </c>
    </row>
    <row r="48" spans="1:4" x14ac:dyDescent="0.25">
      <c r="A48" s="1" t="s">
        <v>24</v>
      </c>
      <c r="B48" s="14">
        <f>B21</f>
        <v>7500</v>
      </c>
      <c r="C48" s="14">
        <f t="shared" ref="C48:D48" si="18">C21</f>
        <v>7500</v>
      </c>
      <c r="D48" s="14">
        <f t="shared" si="18"/>
        <v>7500</v>
      </c>
    </row>
    <row r="49" spans="1:5" x14ac:dyDescent="0.25">
      <c r="A49" s="1" t="s">
        <v>13</v>
      </c>
      <c r="B49" s="14">
        <v>65000</v>
      </c>
      <c r="C49" s="14">
        <f>B28</f>
        <v>65200</v>
      </c>
      <c r="D49" s="14">
        <f>C28</f>
        <v>102300</v>
      </c>
    </row>
    <row r="50" spans="1:5" x14ac:dyDescent="0.25">
      <c r="A50" s="6" t="s">
        <v>5</v>
      </c>
      <c r="B50" s="7">
        <f>SUM(B41:B49)</f>
        <v>680900</v>
      </c>
      <c r="C50" s="7">
        <f t="shared" ref="C50:D50" si="19">SUM(C41:C49)</f>
        <v>1316700</v>
      </c>
      <c r="D50" s="7">
        <f t="shared" si="19"/>
        <v>1308600</v>
      </c>
    </row>
    <row r="53" spans="1:5" x14ac:dyDescent="0.25">
      <c r="A53" s="38" t="s">
        <v>6</v>
      </c>
      <c r="B53" s="38"/>
      <c r="C53" s="38"/>
      <c r="D53" s="38"/>
      <c r="E53" s="9"/>
    </row>
    <row r="54" spans="1:5" x14ac:dyDescent="0.25">
      <c r="A54" s="1"/>
      <c r="B54" s="2" t="s">
        <v>3</v>
      </c>
      <c r="C54" s="2" t="s">
        <v>2</v>
      </c>
      <c r="D54" s="2" t="s">
        <v>1</v>
      </c>
    </row>
    <row r="55" spans="1:5" x14ac:dyDescent="0.25">
      <c r="A55" s="1" t="s">
        <v>16</v>
      </c>
      <c r="B55" s="3">
        <v>21400</v>
      </c>
      <c r="C55" s="3">
        <f>B58</f>
        <v>218740</v>
      </c>
      <c r="D55" s="3">
        <f t="shared" ref="D55" si="20">C58</f>
        <v>-7640</v>
      </c>
    </row>
    <row r="56" spans="1:5" x14ac:dyDescent="0.25">
      <c r="A56" s="8" t="s">
        <v>14</v>
      </c>
      <c r="B56" s="3">
        <f>B36</f>
        <v>878240</v>
      </c>
      <c r="C56" s="3">
        <f t="shared" ref="C56:D56" si="21">C36</f>
        <v>1090320</v>
      </c>
      <c r="D56" s="3">
        <f t="shared" si="21"/>
        <v>1571760</v>
      </c>
    </row>
    <row r="57" spans="1:5" x14ac:dyDescent="0.25">
      <c r="A57" s="3" t="s">
        <v>15</v>
      </c>
      <c r="B57" s="5">
        <f>B50</f>
        <v>680900</v>
      </c>
      <c r="C57" s="5">
        <f t="shared" ref="C57:D57" si="22">C50</f>
        <v>1316700</v>
      </c>
      <c r="D57" s="5">
        <f t="shared" si="22"/>
        <v>1308600</v>
      </c>
    </row>
    <row r="58" spans="1:5" x14ac:dyDescent="0.25">
      <c r="A58" s="1" t="s">
        <v>31</v>
      </c>
      <c r="B58" s="3">
        <f>B55+B56-B57</f>
        <v>218740</v>
      </c>
      <c r="C58" s="13">
        <f t="shared" ref="C58:D58" si="23">C55+C56-C57</f>
        <v>-7640</v>
      </c>
      <c r="D58" s="3">
        <f t="shared" si="23"/>
        <v>255520</v>
      </c>
    </row>
  </sheetData>
  <mergeCells count="8">
    <mergeCell ref="K5:L5"/>
    <mergeCell ref="A53:D53"/>
    <mergeCell ref="A39:D39"/>
    <mergeCell ref="A4:D4"/>
    <mergeCell ref="A10:D10"/>
    <mergeCell ref="A16:D16"/>
    <mergeCell ref="A24:D24"/>
    <mergeCell ref="A31:D31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Exercice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Eric Noel</cp:lastModifiedBy>
  <cp:lastPrinted>2020-03-04T09:01:58Z</cp:lastPrinted>
  <dcterms:created xsi:type="dcterms:W3CDTF">2018-10-31T09:01:39Z</dcterms:created>
  <dcterms:modified xsi:type="dcterms:W3CDTF">2023-02-21T10:36:57Z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55cc1e0e-dcf2-4575-8300-b3995ceece7e</vt:lpwstr>
  </property>
</Properties>
</file>