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4107\2020 2021\Theme 4 La synthese budgétaire\"/>
    </mc:Choice>
  </mc:AlternateContent>
  <xr:revisionPtr revIDLastSave="19" documentId="8_{5DDB089E-3E80-485F-87AD-89A7ABC87B02}" xr6:coauthVersionLast="36" xr6:coauthVersionMax="36" xr10:uidLastSave="{E7B4BCB6-56F6-4B6B-9D20-2F6CA461F855}"/>
  <bookViews>
    <workbookView xWindow="0" yWindow="0" windowWidth="12690" windowHeight="5835" xr2:uid="{00000000-000D-0000-FFFF-FFFF00000000}"/>
  </bookViews>
  <sheets>
    <sheet name="Exercice 2" sheetId="1" r:id="rId1"/>
    <sheet name="Feuil1" sheetId="2" r:id="rId2"/>
  </sheets>
  <definedNames>
    <definedName name="_xlnm.Print_Area" localSheetId="0">'Exercice 2'!$A$10:$G$72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52" i="1"/>
  <c r="F52" i="1"/>
  <c r="G52" i="1"/>
  <c r="C52" i="1"/>
  <c r="D53" i="1"/>
  <c r="E53" i="1"/>
  <c r="F53" i="1"/>
  <c r="G53" i="1"/>
  <c r="C53" i="1"/>
  <c r="K8" i="2" l="1"/>
  <c r="F9" i="2"/>
  <c r="B77" i="1" l="1"/>
  <c r="D92" i="1"/>
  <c r="C82" i="1"/>
  <c r="H6" i="1"/>
  <c r="H7" i="1"/>
  <c r="H10" i="1"/>
  <c r="H11" i="1"/>
  <c r="H12" i="1"/>
  <c r="J48" i="1"/>
  <c r="K48" i="1" s="1"/>
  <c r="C19" i="1"/>
  <c r="D19" i="1"/>
  <c r="E19" i="1"/>
  <c r="F19" i="1"/>
  <c r="G19" i="1"/>
  <c r="K49" i="1" l="1"/>
  <c r="D82" i="1"/>
  <c r="E82" i="1" s="1"/>
  <c r="F82" i="1" s="1"/>
  <c r="G82" i="1" s="1"/>
  <c r="D90" i="1"/>
  <c r="C90" i="1"/>
  <c r="C91" i="1" s="1"/>
  <c r="B52" i="1"/>
  <c r="H82" i="1" l="1"/>
  <c r="E90" i="1"/>
  <c r="B91" i="1"/>
  <c r="C92" i="1"/>
  <c r="E92" i="1" s="1"/>
  <c r="C62" i="1"/>
  <c r="D62" i="1"/>
  <c r="E62" i="1"/>
  <c r="F62" i="1"/>
  <c r="G62" i="1"/>
  <c r="B62" i="1"/>
  <c r="D91" i="1" l="1"/>
  <c r="B92" i="1"/>
  <c r="E91" i="1" l="1"/>
  <c r="G61" i="1"/>
  <c r="D61" i="1"/>
  <c r="E5" i="1"/>
  <c r="C50" i="1" s="1"/>
  <c r="B4" i="1"/>
  <c r="B41" i="1" s="1"/>
  <c r="B63" i="1"/>
  <c r="D58" i="1"/>
  <c r="G58" i="1" s="1"/>
  <c r="B28" i="1"/>
  <c r="E6" i="1"/>
  <c r="B51" i="1" s="1"/>
  <c r="G51" i="1"/>
  <c r="F51" i="1"/>
  <c r="E51" i="1"/>
  <c r="D51" i="1"/>
  <c r="C51" i="1"/>
  <c r="E30" i="1"/>
  <c r="C21" i="1"/>
  <c r="C20" i="1"/>
  <c r="B19" i="1"/>
  <c r="C13" i="1"/>
  <c r="D13" i="1"/>
  <c r="E13" i="1"/>
  <c r="F13" i="1"/>
  <c r="H44" i="1" s="1"/>
  <c r="G13" i="1"/>
  <c r="B13" i="1"/>
  <c r="B30" i="1"/>
  <c r="B29" i="1"/>
  <c r="I44" i="1" l="1"/>
  <c r="H43" i="1"/>
  <c r="G81" i="1" s="1"/>
  <c r="D20" i="1"/>
  <c r="F20" i="1" s="1"/>
  <c r="D23" i="1"/>
  <c r="D57" i="1" s="1"/>
  <c r="D14" i="1"/>
  <c r="E22" i="1"/>
  <c r="E14" i="1"/>
  <c r="C22" i="1"/>
  <c r="D54" i="1" s="1"/>
  <c r="C14" i="1"/>
  <c r="B35" i="1"/>
  <c r="B14" i="1"/>
  <c r="G35" i="1"/>
  <c r="G14" i="1"/>
  <c r="F14" i="1"/>
  <c r="G44" i="1"/>
  <c r="C41" i="1"/>
  <c r="B42" i="1"/>
  <c r="B45" i="1" s="1"/>
  <c r="B70" i="1" s="1"/>
  <c r="G42" i="1"/>
  <c r="F43" i="1"/>
  <c r="E81" i="1" s="1"/>
  <c r="E83" i="1" s="1"/>
  <c r="B23" i="1"/>
  <c r="B57" i="1" s="1"/>
  <c r="G23" i="1"/>
  <c r="G57" i="1" s="1"/>
  <c r="E44" i="1"/>
  <c r="C29" i="1"/>
  <c r="C56" i="1"/>
  <c r="B31" i="1"/>
  <c r="C30" i="1"/>
  <c r="D30" i="1" s="1"/>
  <c r="F30" i="1" s="1"/>
  <c r="G30" i="1" s="1"/>
  <c r="G43" i="1"/>
  <c r="F81" i="1" s="1"/>
  <c r="F83" i="1" s="1"/>
  <c r="F44" i="1"/>
  <c r="F23" i="1"/>
  <c r="F57" i="1" s="1"/>
  <c r="F42" i="1"/>
  <c r="E43" i="1"/>
  <c r="D81" i="1" s="1"/>
  <c r="D83" i="1" s="1"/>
  <c r="F35" i="1"/>
  <c r="E23" i="1"/>
  <c r="E57" i="1" s="1"/>
  <c r="E42" i="1"/>
  <c r="D43" i="1"/>
  <c r="C81" i="1" s="1"/>
  <c r="C83" i="1" s="1"/>
  <c r="B55" i="1"/>
  <c r="E35" i="1"/>
  <c r="D42" i="1"/>
  <c r="D44" i="1"/>
  <c r="E28" i="1"/>
  <c r="F22" i="1"/>
  <c r="C42" i="1"/>
  <c r="B50" i="1"/>
  <c r="G22" i="1"/>
  <c r="C43" i="1"/>
  <c r="B81" i="1" s="1"/>
  <c r="B83" i="1" s="1"/>
  <c r="C28" i="1"/>
  <c r="E29" i="1"/>
  <c r="F56" i="1" s="1"/>
  <c r="D21" i="1"/>
  <c r="B22" i="1"/>
  <c r="C35" i="1"/>
  <c r="C23" i="1"/>
  <c r="C36" i="1" s="1"/>
  <c r="D22" i="1"/>
  <c r="D35" i="1"/>
  <c r="D24" i="1" l="1"/>
  <c r="H81" i="1"/>
  <c r="G83" i="1"/>
  <c r="H83" i="1" s="1"/>
  <c r="G60" i="1"/>
  <c r="E20" i="1"/>
  <c r="D36" i="1"/>
  <c r="D37" i="1" s="1"/>
  <c r="E63" i="1" s="1"/>
  <c r="B36" i="1"/>
  <c r="B37" i="1" s="1"/>
  <c r="C63" i="1" s="1"/>
  <c r="B24" i="1"/>
  <c r="C24" i="1"/>
  <c r="B64" i="1"/>
  <c r="B71" i="1" s="1"/>
  <c r="B72" i="1" s="1"/>
  <c r="D60" i="1"/>
  <c r="G45" i="1"/>
  <c r="G70" i="1" s="1"/>
  <c r="C45" i="1"/>
  <c r="C70" i="1" s="1"/>
  <c r="D45" i="1"/>
  <c r="D70" i="1" s="1"/>
  <c r="D56" i="1"/>
  <c r="D29" i="1"/>
  <c r="F45" i="1"/>
  <c r="F70" i="1" s="1"/>
  <c r="C54" i="1"/>
  <c r="D28" i="1"/>
  <c r="C31" i="1"/>
  <c r="C55" i="1"/>
  <c r="E55" i="1"/>
  <c r="E31" i="1"/>
  <c r="C57" i="1"/>
  <c r="E21" i="1"/>
  <c r="E54" i="1"/>
  <c r="E45" i="1"/>
  <c r="E70" i="1" s="1"/>
  <c r="G20" i="1"/>
  <c r="E36" i="1" l="1"/>
  <c r="E37" i="1" s="1"/>
  <c r="F63" i="1" s="1"/>
  <c r="C37" i="1"/>
  <c r="D63" i="1" s="1"/>
  <c r="E24" i="1"/>
  <c r="C69" i="1"/>
  <c r="E64" i="1"/>
  <c r="E71" i="1" s="1"/>
  <c r="C64" i="1"/>
  <c r="C71" i="1" s="1"/>
  <c r="F21" i="1"/>
  <c r="F54" i="1"/>
  <c r="F29" i="1"/>
  <c r="E56" i="1"/>
  <c r="F28" i="1"/>
  <c r="G28" i="1" s="1"/>
  <c r="D55" i="1"/>
  <c r="D31" i="1"/>
  <c r="F24" i="1" l="1"/>
  <c r="F36" i="1"/>
  <c r="D64" i="1"/>
  <c r="D71" i="1" s="1"/>
  <c r="C72" i="1"/>
  <c r="G31" i="1"/>
  <c r="G21" i="1"/>
  <c r="G54" i="1"/>
  <c r="F37" i="1"/>
  <c r="G63" i="1" s="1"/>
  <c r="F55" i="1"/>
  <c r="F64" i="1" s="1"/>
  <c r="F71" i="1" s="1"/>
  <c r="F31" i="1"/>
  <c r="G56" i="1"/>
  <c r="G29" i="1"/>
  <c r="G24" i="1" l="1"/>
  <c r="G36" i="1"/>
  <c r="C77" i="1"/>
  <c r="D69" i="1"/>
  <c r="D72" i="1" s="1"/>
  <c r="G37" i="1"/>
  <c r="G55" i="1"/>
  <c r="G64" i="1" s="1"/>
  <c r="G71" i="1" s="1"/>
  <c r="E69" i="1" l="1"/>
  <c r="E72" i="1" s="1"/>
  <c r="D77" i="1"/>
  <c r="F69" i="1" l="1"/>
  <c r="F72" i="1" s="1"/>
  <c r="E77" i="1"/>
  <c r="G69" i="1" l="1"/>
  <c r="G72" i="1" s="1"/>
  <c r="G77" i="1" s="1"/>
  <c r="F77" i="1"/>
  <c r="H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60% en janvier et 40% en février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75% à 30j et 25% à 60j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16 000 000 * 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7 000 000 *20%
380 000 * 20%
460 000 *20%
1 280 000 * 10%
9 600 * 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7 176 000 *60%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(16000000*1,20)*15%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(16000000*1,20)*50%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(16000000*1,20)*35%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460000 * 1,20
1 280 000 *1,10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3 000 000 - 660 000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Charges sociales de Janvier
660 000 + 1 350 000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9600 * 1,20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RF N-2 : 1200000
ACOMPTE :
1 200 000 *(1/4 * 28%)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8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RF N-1 : 1500000
ACOMPTE : 
1 500 000 * (1/2 * 28%) - 84000€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1/3 du RF de N-1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4 268 930 *0,005 = 21 344,65€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9 600 000 * 1,5% * 1/12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<sst xmlns="http://schemas.openxmlformats.org/spreadsheetml/2006/main" count="123" uniqueCount="74">
  <si>
    <t>Etat des actifs circulants au 31/12/N</t>
  </si>
  <si>
    <t>Créances clients</t>
  </si>
  <si>
    <t>Banque</t>
  </si>
  <si>
    <t>Etat des dettes au 31/12/N</t>
  </si>
  <si>
    <t>Emprunt</t>
  </si>
  <si>
    <t>Fournisseurs</t>
  </si>
  <si>
    <t>Charges sociales</t>
  </si>
  <si>
    <t>TVA a décaisser</t>
  </si>
  <si>
    <t>J</t>
  </si>
  <si>
    <t>F</t>
  </si>
  <si>
    <t>M</t>
  </si>
  <si>
    <t>A</t>
  </si>
  <si>
    <t>Ventes en quantité</t>
  </si>
  <si>
    <t>PV  ht</t>
  </si>
  <si>
    <t>CA HT</t>
  </si>
  <si>
    <t>achats</t>
  </si>
  <si>
    <t>TVA COLLECTEE</t>
  </si>
  <si>
    <t>Loyer TVA 20%</t>
  </si>
  <si>
    <t>Services extérieurs 20%</t>
  </si>
  <si>
    <t>Services extérieurs 10%</t>
  </si>
  <si>
    <t>Services bancaires</t>
  </si>
  <si>
    <t>Services bancaires 20%</t>
  </si>
  <si>
    <t>TOTAL</t>
  </si>
  <si>
    <t>TVA DEDUCTIBLE</t>
  </si>
  <si>
    <t>BUDGET DES CHARGES DE PERSONNEL</t>
  </si>
  <si>
    <t>Charges sociales 22%</t>
  </si>
  <si>
    <t>Charges patronales 45%</t>
  </si>
  <si>
    <t>BUDGET DE TRESORERIE</t>
  </si>
  <si>
    <t>Prime de 30%</t>
  </si>
  <si>
    <t>BUDGET DES ENCAISSEMENTS</t>
  </si>
  <si>
    <t>Créances clients au bilan</t>
  </si>
  <si>
    <t>Comptant - 15%</t>
  </si>
  <si>
    <t>A 30 jours - 50%</t>
  </si>
  <si>
    <t>A 60 jours - 35%</t>
  </si>
  <si>
    <t>BUDGET DES DECAISSEMENTS</t>
  </si>
  <si>
    <t>Dettes Frs au bilan</t>
  </si>
  <si>
    <t>Dettes sociales au bilan</t>
  </si>
  <si>
    <t>Achats comptant 25%</t>
  </si>
  <si>
    <t>Achat à 30 jours 75%</t>
  </si>
  <si>
    <t>Services Extérieurs 30j 100%</t>
  </si>
  <si>
    <t>Salaire Brut</t>
  </si>
  <si>
    <t>TOTAL (SB +CP)</t>
  </si>
  <si>
    <t>Acomptes IS</t>
  </si>
  <si>
    <t>Dividendes</t>
  </si>
  <si>
    <t>Emprunt Capital</t>
  </si>
  <si>
    <t>Emprunt Intérêt</t>
  </si>
  <si>
    <t>TVA à décaisser</t>
  </si>
  <si>
    <t>TVA A DECAISSER</t>
  </si>
  <si>
    <t>Encaissements</t>
  </si>
  <si>
    <t>Décaissements</t>
  </si>
  <si>
    <t>Solde Final</t>
  </si>
  <si>
    <t>Solde Initial</t>
  </si>
  <si>
    <t>Intérêts CBC 0,50% par mois</t>
  </si>
  <si>
    <t>CA TTC</t>
  </si>
  <si>
    <t>Loyer</t>
  </si>
  <si>
    <t>BUDGET DE TVA</t>
  </si>
  <si>
    <t>BUDGET DES ACHATS ET FRAIS GENERAUX   HT</t>
  </si>
  <si>
    <t>BUDGET DES VENTES  HT</t>
  </si>
  <si>
    <t>Salaires nets  -&gt; Salariés</t>
  </si>
  <si>
    <t>Charges sociales (salariale + P)</t>
  </si>
  <si>
    <t>Capital du</t>
  </si>
  <si>
    <t>Rembt Capital</t>
  </si>
  <si>
    <t>Intérêts</t>
  </si>
  <si>
    <t>Annuité</t>
  </si>
  <si>
    <t>31/03/N</t>
  </si>
  <si>
    <t>30/06/N</t>
  </si>
  <si>
    <t>Achats HT</t>
  </si>
  <si>
    <t xml:space="preserve">Financement des créances </t>
  </si>
  <si>
    <t>30/09/N</t>
  </si>
  <si>
    <t>Frais fixes</t>
  </si>
  <si>
    <t>Salaire brut</t>
  </si>
  <si>
    <t>Ch Sociale P</t>
  </si>
  <si>
    <t>Ch Sociale S</t>
  </si>
  <si>
    <t>Saalire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</si>
</sst>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0" xfId="0" applyNumberFormat="1"/>
    <xf numFmtId="44" fontId="0" fillId="0" borderId="1" xfId="0" applyNumberFormat="1" applyBorder="1"/>
    <xf numFmtId="0" fontId="2" fillId="0" borderId="1" xfId="0" applyFont="1" applyFill="1" applyBorder="1"/>
    <xf numFmtId="44" fontId="2" fillId="0" borderId="1" xfId="0" applyNumberFormat="1" applyFont="1" applyBorder="1"/>
    <xf numFmtId="44" fontId="0" fillId="0" borderId="1" xfId="1" applyFont="1" applyBorder="1" applyAlignment="1"/>
    <xf numFmtId="0" fontId="2" fillId="0" borderId="1" xfId="0" applyFont="1" applyBorder="1"/>
    <xf numFmtId="0" fontId="5" fillId="0" borderId="0" xfId="0" applyFont="1"/>
    <xf numFmtId="164" fontId="5" fillId="0" borderId="0" xfId="0" applyNumberFormat="1" applyFont="1"/>
    <xf numFmtId="9" fontId="5" fillId="0" borderId="0" xfId="0" applyNumberFormat="1" applyFont="1"/>
    <xf numFmtId="44" fontId="0" fillId="2" borderId="1" xfId="1" applyFont="1" applyFill="1" applyBorder="1"/>
    <xf numFmtId="44" fontId="0" fillId="4" borderId="1" xfId="0" applyNumberFormat="1" applyFill="1" applyBorder="1"/>
    <xf numFmtId="44" fontId="2" fillId="0" borderId="1" xfId="1" applyFont="1" applyBorder="1"/>
    <xf numFmtId="44" fontId="0" fillId="0" borderId="1" xfId="1" applyFont="1" applyFill="1" applyBorder="1"/>
    <xf numFmtId="44" fontId="2" fillId="4" borderId="1" xfId="1" applyFont="1" applyFill="1" applyBorder="1"/>
    <xf numFmtId="44" fontId="2" fillId="5" borderId="1" xfId="1" applyFont="1" applyFill="1" applyBorder="1"/>
    <xf numFmtId="44" fontId="0" fillId="3" borderId="0" xfId="0" applyNumberFormat="1" applyFill="1"/>
    <xf numFmtId="44" fontId="0" fillId="3" borderId="1" xfId="1" applyFont="1" applyFill="1" applyBorder="1"/>
    <xf numFmtId="44" fontId="8" fillId="2" borderId="1" xfId="1" applyFont="1" applyFill="1" applyBorder="1"/>
    <xf numFmtId="44" fontId="0" fillId="6" borderId="1" xfId="1" applyFont="1" applyFill="1" applyBorder="1"/>
    <xf numFmtId="44" fontId="0" fillId="7" borderId="1" xfId="1" applyFont="1" applyFill="1" applyBorder="1"/>
    <xf numFmtId="44" fontId="9" fillId="0" borderId="1" xfId="1" applyFont="1" applyBorder="1"/>
    <xf numFmtId="44" fontId="0" fillId="2" borderId="1" xfId="0" applyNumberFormat="1" applyFill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1027340</xdr:colOff>
      <xdr:row>68</xdr:row>
      <xdr:rowOff>129268</xdr:rowOff>
    </xdr:from>
    <xdr:to>
      <xdr:col>2</xdr:col>
      <xdr:colOff>129268</xdr:colOff>
      <xdr:row>71</xdr:row>
      <xdr:rowOff>74840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687411" y="12314464"/>
          <a:ext cx="204107" cy="5170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3:L92"/>
  <sheetViews>
    <sheetView showGridLines="0" tabSelected="1" topLeftCell="A17" zoomScale="91" zoomScaleNormal="91" workbookViewId="0">
      <selection activeCell="C52" sqref="C52:G52"/>
    </sheetView>
  </sheetViews>
  <sheetFormatPr baseColWidth="10" defaultRowHeight="15" x14ac:dyDescent="0.25"/>
  <cols>
    <col min="1" max="1" width="24.85546875" customWidth="1"/>
    <col min="2" max="3" width="16.5703125" bestFit="1" customWidth="1"/>
    <col min="4" max="4" width="24.7109375" bestFit="1" customWidth="1"/>
    <col min="5" max="6" width="16.5703125" bestFit="1" customWidth="1"/>
    <col min="7" max="7" width="21.5703125" bestFit="1" customWidth="1"/>
    <col min="8" max="9" width="15.140625" bestFit="1" customWidth="1"/>
  </cols>
  <sheetData>
    <row r="3" spans="1:12" x14ac:dyDescent="0.25">
      <c r="A3" s="32" t="s">
        <v>0</v>
      </c>
      <c r="B3" s="32"/>
      <c r="D3" t="s">
        <v>3</v>
      </c>
    </row>
    <row r="4" spans="1:12" x14ac:dyDescent="0.25">
      <c r="A4" t="s">
        <v>1</v>
      </c>
      <c r="B4" s="1">
        <f>5980000*1.2</f>
        <v>7176000</v>
      </c>
      <c r="D4" t="s">
        <v>4</v>
      </c>
      <c r="E4">
        <v>6000000</v>
      </c>
      <c r="H4" s="11"/>
      <c r="I4" s="11"/>
      <c r="J4" s="11"/>
      <c r="K4" s="11" t="s">
        <v>13</v>
      </c>
      <c r="L4" s="11">
        <v>320</v>
      </c>
    </row>
    <row r="5" spans="1:12" x14ac:dyDescent="0.25">
      <c r="A5" t="s">
        <v>2</v>
      </c>
      <c r="B5" s="1">
        <v>19890</v>
      </c>
      <c r="D5" t="s">
        <v>5</v>
      </c>
      <c r="E5">
        <f>4230000*1.2</f>
        <v>5076000</v>
      </c>
      <c r="H5" s="12">
        <v>3000000</v>
      </c>
      <c r="I5" s="11"/>
      <c r="J5" s="11"/>
      <c r="K5" s="11"/>
      <c r="L5" s="11"/>
    </row>
    <row r="6" spans="1:12" ht="1.9" customHeight="1" x14ac:dyDescent="0.25">
      <c r="B6" s="1"/>
      <c r="D6" t="s">
        <v>6</v>
      </c>
      <c r="E6">
        <f>2900000*0.67</f>
        <v>1943000</v>
      </c>
      <c r="H6" s="11">
        <f>H5*0.22</f>
        <v>660000</v>
      </c>
      <c r="I6" s="13">
        <v>0.22</v>
      </c>
      <c r="J6" s="11"/>
      <c r="K6" s="11"/>
      <c r="L6" s="11"/>
    </row>
    <row r="7" spans="1:12" x14ac:dyDescent="0.25">
      <c r="D7" t="s">
        <v>7</v>
      </c>
      <c r="E7">
        <v>987900</v>
      </c>
      <c r="H7" s="11">
        <f>H5*0.45</f>
        <v>1350000</v>
      </c>
      <c r="I7" s="13">
        <v>0.45</v>
      </c>
      <c r="J7" s="11"/>
      <c r="K7" s="11" t="s">
        <v>15</v>
      </c>
      <c r="L7" s="11">
        <v>140</v>
      </c>
    </row>
    <row r="8" spans="1:12" x14ac:dyDescent="0.25">
      <c r="H8" s="11"/>
      <c r="I8" s="11"/>
      <c r="J8" s="11"/>
      <c r="K8" s="11"/>
      <c r="L8" s="11"/>
    </row>
    <row r="9" spans="1:12" x14ac:dyDescent="0.25">
      <c r="H9" s="11"/>
      <c r="I9" s="11"/>
      <c r="J9" s="11"/>
      <c r="K9" s="11"/>
      <c r="L9" s="11"/>
    </row>
    <row r="10" spans="1:12" x14ac:dyDescent="0.25">
      <c r="A10" s="31" t="s">
        <v>57</v>
      </c>
      <c r="B10" s="31"/>
      <c r="C10" s="31"/>
      <c r="D10" s="31"/>
      <c r="E10" s="31"/>
      <c r="F10" s="31"/>
      <c r="G10" s="31"/>
      <c r="H10" s="11">
        <f>3000000*1.3</f>
        <v>3900000</v>
      </c>
      <c r="I10" s="11" t="s">
        <v>28</v>
      </c>
      <c r="J10" s="11"/>
      <c r="K10" s="11"/>
      <c r="L10" s="11"/>
    </row>
    <row r="11" spans="1:12" x14ac:dyDescent="0.25">
      <c r="A11" s="2"/>
      <c r="B11" s="3" t="s">
        <v>8</v>
      </c>
      <c r="C11" s="3" t="s">
        <v>9</v>
      </c>
      <c r="D11" s="3" t="s">
        <v>10</v>
      </c>
      <c r="E11" s="3" t="s">
        <v>11</v>
      </c>
      <c r="F11" s="3" t="s">
        <v>10</v>
      </c>
      <c r="G11" s="3" t="s">
        <v>8</v>
      </c>
      <c r="H11" s="11">
        <f>H10*0.22</f>
        <v>858000</v>
      </c>
      <c r="I11" s="13">
        <v>0.22</v>
      </c>
      <c r="J11" s="11"/>
      <c r="K11" s="11"/>
      <c r="L11" s="11"/>
    </row>
    <row r="12" spans="1:12" x14ac:dyDescent="0.25">
      <c r="A12" s="2" t="s">
        <v>12</v>
      </c>
      <c r="B12" s="2">
        <v>50000</v>
      </c>
      <c r="C12" s="2">
        <v>52000</v>
      </c>
      <c r="D12" s="2">
        <v>56000</v>
      </c>
      <c r="E12" s="2">
        <v>48000</v>
      </c>
      <c r="F12" s="2">
        <v>46000</v>
      </c>
      <c r="G12" s="2">
        <v>51000</v>
      </c>
      <c r="H12" s="11">
        <f>H10*0.45</f>
        <v>1755000</v>
      </c>
      <c r="I12" s="13">
        <v>0.45</v>
      </c>
      <c r="J12" s="11"/>
      <c r="K12" s="11"/>
      <c r="L12" s="11"/>
    </row>
    <row r="13" spans="1:12" x14ac:dyDescent="0.25">
      <c r="A13" s="2" t="s">
        <v>14</v>
      </c>
      <c r="B13" s="4">
        <f t="shared" ref="B13:G13" si="0">B12*$L$4</f>
        <v>16000000</v>
      </c>
      <c r="C13" s="4">
        <f t="shared" si="0"/>
        <v>16640000</v>
      </c>
      <c r="D13" s="4">
        <f t="shared" si="0"/>
        <v>17920000</v>
      </c>
      <c r="E13" s="4">
        <f t="shared" si="0"/>
        <v>15360000</v>
      </c>
      <c r="F13" s="4">
        <f t="shared" si="0"/>
        <v>14720000</v>
      </c>
      <c r="G13" s="4">
        <f t="shared" si="0"/>
        <v>16320000</v>
      </c>
      <c r="H13" s="11"/>
      <c r="I13" s="11"/>
      <c r="J13" s="11"/>
      <c r="K13" s="11"/>
      <c r="L13" s="11"/>
    </row>
    <row r="14" spans="1:12" x14ac:dyDescent="0.25">
      <c r="A14" s="2" t="s">
        <v>53</v>
      </c>
      <c r="B14" s="6">
        <f>B13*1.2</f>
        <v>19200000</v>
      </c>
      <c r="C14" s="6">
        <f t="shared" ref="C14:G14" si="1">C13*1.2</f>
        <v>19968000</v>
      </c>
      <c r="D14" s="6">
        <f t="shared" si="1"/>
        <v>21504000</v>
      </c>
      <c r="E14" s="6">
        <f t="shared" si="1"/>
        <v>18432000</v>
      </c>
      <c r="F14" s="6">
        <f t="shared" si="1"/>
        <v>17664000</v>
      </c>
      <c r="G14" s="6">
        <f t="shared" si="1"/>
        <v>19584000</v>
      </c>
      <c r="H14" s="11"/>
      <c r="I14" s="11"/>
      <c r="J14" s="11"/>
      <c r="K14" s="11"/>
      <c r="L14" s="11"/>
    </row>
    <row r="15" spans="1:12" ht="15.6" customHeight="1" x14ac:dyDescent="0.25"/>
    <row r="17" spans="1:7" x14ac:dyDescent="0.25">
      <c r="A17" s="31" t="s">
        <v>56</v>
      </c>
      <c r="B17" s="31"/>
      <c r="C17" s="31"/>
      <c r="D17" s="31"/>
      <c r="E17" s="31"/>
      <c r="F17" s="31"/>
      <c r="G17" s="31"/>
    </row>
    <row r="18" spans="1:7" x14ac:dyDescent="0.25">
      <c r="A18" s="2"/>
      <c r="B18" s="3" t="s">
        <v>8</v>
      </c>
      <c r="C18" s="3" t="s">
        <v>9</v>
      </c>
      <c r="D18" s="3" t="s">
        <v>10</v>
      </c>
      <c r="E18" s="3" t="s">
        <v>11</v>
      </c>
      <c r="F18" s="3" t="s">
        <v>10</v>
      </c>
      <c r="G18" s="3" t="s">
        <v>8</v>
      </c>
    </row>
    <row r="19" spans="1:7" x14ac:dyDescent="0.25">
      <c r="A19" s="2" t="s">
        <v>66</v>
      </c>
      <c r="B19" s="4">
        <f t="shared" ref="B19:G19" si="2">$L$7*B12</f>
        <v>7000000</v>
      </c>
      <c r="C19" s="4">
        <f t="shared" si="2"/>
        <v>7280000</v>
      </c>
      <c r="D19" s="4">
        <f t="shared" si="2"/>
        <v>7840000</v>
      </c>
      <c r="E19" s="4">
        <f t="shared" si="2"/>
        <v>6720000</v>
      </c>
      <c r="F19" s="4">
        <f t="shared" si="2"/>
        <v>6440000</v>
      </c>
      <c r="G19" s="4">
        <f t="shared" si="2"/>
        <v>7140000</v>
      </c>
    </row>
    <row r="20" spans="1:7" x14ac:dyDescent="0.25">
      <c r="A20" s="2" t="s">
        <v>17</v>
      </c>
      <c r="B20" s="4">
        <v>380000</v>
      </c>
      <c r="C20" s="4">
        <f>B20</f>
        <v>380000</v>
      </c>
      <c r="D20" s="4">
        <f t="shared" ref="D20:G20" si="3">C20</f>
        <v>380000</v>
      </c>
      <c r="E20" s="4">
        <f t="shared" si="3"/>
        <v>380000</v>
      </c>
      <c r="F20" s="4">
        <f>D20</f>
        <v>380000</v>
      </c>
      <c r="G20" s="4">
        <f t="shared" si="3"/>
        <v>380000</v>
      </c>
    </row>
    <row r="21" spans="1:7" x14ac:dyDescent="0.25">
      <c r="A21" s="4" t="s">
        <v>18</v>
      </c>
      <c r="B21" s="4">
        <v>460000</v>
      </c>
      <c r="C21" s="4">
        <f>B21*1.01</f>
        <v>464600</v>
      </c>
      <c r="D21" s="4">
        <f t="shared" ref="D21:G21" si="4">C21*1.01</f>
        <v>469246</v>
      </c>
      <c r="E21" s="4">
        <f t="shared" si="4"/>
        <v>473938.46</v>
      </c>
      <c r="F21" s="4">
        <f t="shared" si="4"/>
        <v>478677.84460000001</v>
      </c>
      <c r="G21" s="4">
        <f t="shared" si="4"/>
        <v>483464.62304600002</v>
      </c>
    </row>
    <row r="22" spans="1:7" x14ac:dyDescent="0.25">
      <c r="A22" s="4" t="s">
        <v>19</v>
      </c>
      <c r="B22" s="4">
        <f t="shared" ref="B22:G22" si="5">B13*0.08</f>
        <v>1280000</v>
      </c>
      <c r="C22" s="4">
        <f t="shared" si="5"/>
        <v>1331200</v>
      </c>
      <c r="D22" s="4">
        <f t="shared" si="5"/>
        <v>1433600</v>
      </c>
      <c r="E22" s="4">
        <f t="shared" si="5"/>
        <v>1228800</v>
      </c>
      <c r="F22" s="4">
        <f t="shared" si="5"/>
        <v>1177600</v>
      </c>
      <c r="G22" s="4">
        <f t="shared" si="5"/>
        <v>1305600</v>
      </c>
    </row>
    <row r="23" spans="1:7" x14ac:dyDescent="0.25">
      <c r="A23" s="2" t="s">
        <v>21</v>
      </c>
      <c r="B23" s="4">
        <f t="shared" ref="B23:G23" si="6">B13*1.2*0.05/100</f>
        <v>9600</v>
      </c>
      <c r="C23" s="4">
        <f t="shared" si="6"/>
        <v>9984</v>
      </c>
      <c r="D23" s="4">
        <f t="shared" si="6"/>
        <v>10752</v>
      </c>
      <c r="E23" s="4">
        <f t="shared" si="6"/>
        <v>9216</v>
      </c>
      <c r="F23" s="4">
        <f t="shared" si="6"/>
        <v>8832</v>
      </c>
      <c r="G23" s="4">
        <f t="shared" si="6"/>
        <v>9792</v>
      </c>
    </row>
    <row r="24" spans="1:7" x14ac:dyDescent="0.25">
      <c r="A24" s="7" t="s">
        <v>22</v>
      </c>
      <c r="B24" s="8">
        <f>SUM(B19:B23)</f>
        <v>9129600</v>
      </c>
      <c r="C24" s="8">
        <f t="shared" ref="C24:G24" si="7">SUM(C19:C23)</f>
        <v>9465784</v>
      </c>
      <c r="D24" s="8">
        <f t="shared" si="7"/>
        <v>10133598</v>
      </c>
      <c r="E24" s="8">
        <f t="shared" si="7"/>
        <v>8811954.4600000009</v>
      </c>
      <c r="F24" s="8">
        <f t="shared" si="7"/>
        <v>8485109.8445999995</v>
      </c>
      <c r="G24" s="8">
        <f t="shared" si="7"/>
        <v>9318856.6230459996</v>
      </c>
    </row>
    <row r="26" spans="1:7" x14ac:dyDescent="0.25">
      <c r="A26" s="31" t="s">
        <v>24</v>
      </c>
      <c r="B26" s="31"/>
      <c r="C26" s="31"/>
      <c r="D26" s="31"/>
      <c r="E26" s="31"/>
      <c r="F26" s="31"/>
      <c r="G26" s="31"/>
    </row>
    <row r="27" spans="1:7" x14ac:dyDescent="0.25">
      <c r="A27" s="2"/>
      <c r="B27" s="3" t="s">
        <v>8</v>
      </c>
      <c r="C27" s="3" t="s">
        <v>9</v>
      </c>
      <c r="D27" s="3" t="s">
        <v>10</v>
      </c>
      <c r="E27" s="3" t="s">
        <v>11</v>
      </c>
      <c r="F27" s="3" t="s">
        <v>10</v>
      </c>
      <c r="G27" s="3" t="s">
        <v>8</v>
      </c>
    </row>
    <row r="28" spans="1:7" x14ac:dyDescent="0.25">
      <c r="A28" s="2" t="s">
        <v>40</v>
      </c>
      <c r="B28" s="4">
        <f>H5</f>
        <v>3000000</v>
      </c>
      <c r="C28" s="4">
        <f>B28</f>
        <v>3000000</v>
      </c>
      <c r="D28" s="4">
        <f t="shared" ref="D28:G28" si="8">C28</f>
        <v>3000000</v>
      </c>
      <c r="E28" s="4">
        <f>H10</f>
        <v>3900000</v>
      </c>
      <c r="F28" s="4">
        <f>D28</f>
        <v>3000000</v>
      </c>
      <c r="G28" s="4">
        <f t="shared" si="8"/>
        <v>3000000</v>
      </c>
    </row>
    <row r="29" spans="1:7" x14ac:dyDescent="0.25">
      <c r="A29" s="4" t="s">
        <v>25</v>
      </c>
      <c r="B29" s="4">
        <f>H6</f>
        <v>660000</v>
      </c>
      <c r="C29" s="4">
        <f>B29</f>
        <v>660000</v>
      </c>
      <c r="D29" s="4">
        <f t="shared" ref="D29:G29" si="9">C29</f>
        <v>660000</v>
      </c>
      <c r="E29" s="4">
        <f>H11</f>
        <v>858000</v>
      </c>
      <c r="F29" s="4">
        <f t="shared" ref="F29:F30" si="10">D29</f>
        <v>660000</v>
      </c>
      <c r="G29" s="4">
        <f t="shared" si="9"/>
        <v>660000</v>
      </c>
    </row>
    <row r="30" spans="1:7" x14ac:dyDescent="0.25">
      <c r="A30" s="4" t="s">
        <v>26</v>
      </c>
      <c r="B30" s="4">
        <f>H7</f>
        <v>1350000</v>
      </c>
      <c r="C30" s="4">
        <f>B30</f>
        <v>1350000</v>
      </c>
      <c r="D30" s="4">
        <f t="shared" ref="D30:G30" si="11">C30</f>
        <v>1350000</v>
      </c>
      <c r="E30" s="4">
        <f>H12</f>
        <v>1755000</v>
      </c>
      <c r="F30" s="4">
        <f t="shared" si="10"/>
        <v>1350000</v>
      </c>
      <c r="G30" s="4">
        <f t="shared" si="11"/>
        <v>1350000</v>
      </c>
    </row>
    <row r="31" spans="1:7" x14ac:dyDescent="0.25">
      <c r="A31" s="7" t="s">
        <v>41</v>
      </c>
      <c r="B31" s="8">
        <f>B28+B30</f>
        <v>4350000</v>
      </c>
      <c r="C31" s="8">
        <f t="shared" ref="C31:G31" si="12">C28+C30</f>
        <v>4350000</v>
      </c>
      <c r="D31" s="8">
        <f t="shared" si="12"/>
        <v>4350000</v>
      </c>
      <c r="E31" s="8">
        <f t="shared" si="12"/>
        <v>5655000</v>
      </c>
      <c r="F31" s="8">
        <f t="shared" si="12"/>
        <v>4350000</v>
      </c>
      <c r="G31" s="8">
        <f t="shared" si="12"/>
        <v>4350000</v>
      </c>
    </row>
    <row r="33" spans="1:12" x14ac:dyDescent="0.25">
      <c r="A33" s="31" t="s">
        <v>55</v>
      </c>
      <c r="B33" s="31"/>
      <c r="C33" s="31"/>
      <c r="D33" s="31"/>
      <c r="E33" s="31"/>
      <c r="F33" s="31"/>
      <c r="G33" s="31"/>
    </row>
    <row r="34" spans="1:12" x14ac:dyDescent="0.25">
      <c r="A34" s="2"/>
      <c r="B34" s="3" t="s">
        <v>8</v>
      </c>
      <c r="C34" s="3" t="s">
        <v>9</v>
      </c>
      <c r="D34" s="3" t="s">
        <v>10</v>
      </c>
      <c r="E34" s="3" t="s">
        <v>11</v>
      </c>
      <c r="F34" s="3" t="s">
        <v>10</v>
      </c>
      <c r="G34" s="3" t="s">
        <v>8</v>
      </c>
    </row>
    <row r="35" spans="1:12" x14ac:dyDescent="0.25">
      <c r="A35" s="2" t="s">
        <v>16</v>
      </c>
      <c r="B35" s="4">
        <f t="shared" ref="B35:G35" si="13">B13*0.2</f>
        <v>3200000</v>
      </c>
      <c r="C35" s="4">
        <f t="shared" si="13"/>
        <v>3328000</v>
      </c>
      <c r="D35" s="4">
        <f t="shared" si="13"/>
        <v>3584000</v>
      </c>
      <c r="E35" s="4">
        <f t="shared" si="13"/>
        <v>3072000</v>
      </c>
      <c r="F35" s="4">
        <f t="shared" si="13"/>
        <v>2944000</v>
      </c>
      <c r="G35" s="4">
        <f t="shared" si="13"/>
        <v>3264000</v>
      </c>
    </row>
    <row r="36" spans="1:12" x14ac:dyDescent="0.25">
      <c r="A36" s="2" t="s">
        <v>23</v>
      </c>
      <c r="B36" s="6">
        <f>(B19+B20+B21+B23)*0.2+(B22*0.1)</f>
        <v>1697920</v>
      </c>
      <c r="C36" s="6">
        <f>(C19+C20+C21+C23)*0.2+(C22*0.1)</f>
        <v>1760036.8</v>
      </c>
      <c r="D36" s="6">
        <f t="shared" ref="D36:G36" si="14">(D19+D20+D21+D23)*0.2+(D22*0.1)</f>
        <v>1883359.6</v>
      </c>
      <c r="E36" s="6">
        <f t="shared" si="14"/>
        <v>1639510.892</v>
      </c>
      <c r="F36" s="6">
        <f t="shared" si="14"/>
        <v>1579261.9689200001</v>
      </c>
      <c r="G36" s="6">
        <f t="shared" si="14"/>
        <v>1733211.3246092</v>
      </c>
    </row>
    <row r="37" spans="1:12" x14ac:dyDescent="0.25">
      <c r="A37" s="2" t="s">
        <v>47</v>
      </c>
      <c r="B37" s="15">
        <f>B35-B36</f>
        <v>1502080</v>
      </c>
      <c r="C37" s="6">
        <f t="shared" ref="C37:G37" si="15">C35-C36</f>
        <v>1567963.2</v>
      </c>
      <c r="D37" s="6">
        <f t="shared" si="15"/>
        <v>1700640.4</v>
      </c>
      <c r="E37" s="6">
        <f t="shared" si="15"/>
        <v>1432489.108</v>
      </c>
      <c r="F37" s="6">
        <f t="shared" si="15"/>
        <v>1364738.0310799999</v>
      </c>
      <c r="G37" s="6">
        <f t="shared" si="15"/>
        <v>1530788.6753908</v>
      </c>
    </row>
    <row r="39" spans="1:12" x14ac:dyDescent="0.25">
      <c r="A39" s="30" t="s">
        <v>29</v>
      </c>
      <c r="B39" s="30"/>
      <c r="C39" s="30"/>
      <c r="D39" s="30"/>
      <c r="E39" s="30"/>
      <c r="F39" s="30"/>
      <c r="G39" s="30"/>
    </row>
    <row r="40" spans="1:12" x14ac:dyDescent="0.25">
      <c r="A40" s="2"/>
      <c r="B40" s="3" t="s">
        <v>8</v>
      </c>
      <c r="C40" s="3" t="s">
        <v>9</v>
      </c>
      <c r="D40" s="3" t="s">
        <v>10</v>
      </c>
      <c r="E40" s="3" t="s">
        <v>11</v>
      </c>
      <c r="F40" s="3" t="s">
        <v>10</v>
      </c>
      <c r="G40" s="3" t="s">
        <v>8</v>
      </c>
    </row>
    <row r="41" spans="1:12" x14ac:dyDescent="0.25">
      <c r="A41" s="2" t="s">
        <v>30</v>
      </c>
      <c r="B41" s="4">
        <f>B4*0.6</f>
        <v>4305600</v>
      </c>
      <c r="C41" s="4">
        <f>B4*0.4</f>
        <v>2870400</v>
      </c>
      <c r="D41" s="4"/>
      <c r="E41" s="4"/>
      <c r="F41" s="4"/>
      <c r="G41" s="4"/>
    </row>
    <row r="42" spans="1:12" x14ac:dyDescent="0.25">
      <c r="A42" s="4" t="s">
        <v>31</v>
      </c>
      <c r="B42" s="14">
        <f t="shared" ref="B42:G42" si="16">B13*1.2*0.15</f>
        <v>2880000</v>
      </c>
      <c r="C42" s="23">
        <f t="shared" si="16"/>
        <v>2995200</v>
      </c>
      <c r="D42" s="21">
        <f t="shared" si="16"/>
        <v>3225600</v>
      </c>
      <c r="E42" s="4">
        <f t="shared" si="16"/>
        <v>2764800</v>
      </c>
      <c r="F42" s="4">
        <f t="shared" si="16"/>
        <v>2649600</v>
      </c>
      <c r="G42" s="4">
        <f t="shared" si="16"/>
        <v>2937600</v>
      </c>
    </row>
    <row r="43" spans="1:12" x14ac:dyDescent="0.25">
      <c r="A43" s="4" t="s">
        <v>32</v>
      </c>
      <c r="C43" s="14">
        <f t="shared" ref="C43:H43" si="17">B13*1.2*0.5</f>
        <v>9600000</v>
      </c>
      <c r="D43" s="23">
        <f t="shared" si="17"/>
        <v>9984000</v>
      </c>
      <c r="E43" s="21">
        <f t="shared" si="17"/>
        <v>10752000</v>
      </c>
      <c r="F43" s="4">
        <f t="shared" si="17"/>
        <v>9216000</v>
      </c>
      <c r="G43" s="4">
        <f t="shared" si="17"/>
        <v>8832000</v>
      </c>
      <c r="H43" s="4">
        <f t="shared" si="17"/>
        <v>9792000</v>
      </c>
    </row>
    <row r="44" spans="1:12" x14ac:dyDescent="0.25">
      <c r="A44" s="2" t="s">
        <v>33</v>
      </c>
      <c r="B44" s="4"/>
      <c r="C44" s="4"/>
      <c r="D44" s="14">
        <f>B13*1.2*0.35</f>
        <v>6720000</v>
      </c>
      <c r="E44" s="23">
        <f>C13*1.2*0.35</f>
        <v>6988800</v>
      </c>
      <c r="F44" s="21">
        <f>D13*1.2*0.35</f>
        <v>7526399.9999999991</v>
      </c>
      <c r="G44" s="4">
        <f>E13*1.2*0.35</f>
        <v>6451200</v>
      </c>
      <c r="H44" s="4">
        <f t="shared" ref="H44:I44" si="18">F13*1.2*0.35</f>
        <v>6182400</v>
      </c>
      <c r="I44" s="4">
        <f t="shared" si="18"/>
        <v>6854400</v>
      </c>
    </row>
    <row r="45" spans="1:12" x14ac:dyDescent="0.25">
      <c r="A45" s="7" t="s">
        <v>22</v>
      </c>
      <c r="B45" s="8">
        <f>SUM(B41:B44)</f>
        <v>7185600</v>
      </c>
      <c r="C45" s="8">
        <f t="shared" ref="C45:G45" si="19">SUM(C41:C44)</f>
        <v>15465600</v>
      </c>
      <c r="D45" s="8">
        <f t="shared" si="19"/>
        <v>19929600</v>
      </c>
      <c r="E45" s="8">
        <f t="shared" si="19"/>
        <v>20505600</v>
      </c>
      <c r="F45" s="8">
        <f t="shared" si="19"/>
        <v>19392000</v>
      </c>
      <c r="G45" s="8">
        <f t="shared" si="19"/>
        <v>18220800</v>
      </c>
    </row>
    <row r="47" spans="1:12" x14ac:dyDescent="0.25">
      <c r="J47" s="11"/>
      <c r="K47" s="11"/>
      <c r="L47" s="11"/>
    </row>
    <row r="48" spans="1:12" x14ac:dyDescent="0.25">
      <c r="A48" s="30" t="s">
        <v>34</v>
      </c>
      <c r="B48" s="30"/>
      <c r="C48" s="30"/>
      <c r="D48" s="30"/>
      <c r="E48" s="30"/>
      <c r="F48" s="30"/>
      <c r="G48" s="30"/>
      <c r="J48" s="11">
        <f>E4</f>
        <v>6000000</v>
      </c>
      <c r="K48" s="11">
        <f>J48/2/4</f>
        <v>750000</v>
      </c>
      <c r="L48" s="11"/>
    </row>
    <row r="49" spans="1:12" x14ac:dyDescent="0.25">
      <c r="A49" s="2"/>
      <c r="B49" s="3" t="s">
        <v>8</v>
      </c>
      <c r="C49" s="3" t="s">
        <v>9</v>
      </c>
      <c r="D49" s="3" t="s">
        <v>10</v>
      </c>
      <c r="E49" s="3" t="s">
        <v>11</v>
      </c>
      <c r="F49" s="3" t="s">
        <v>10</v>
      </c>
      <c r="G49" s="3" t="s">
        <v>8</v>
      </c>
      <c r="J49" s="11"/>
      <c r="K49" s="11">
        <f>J48*0.03/4</f>
        <v>45000</v>
      </c>
      <c r="L49" s="11"/>
    </row>
    <row r="50" spans="1:12" x14ac:dyDescent="0.25">
      <c r="A50" s="2" t="s">
        <v>35</v>
      </c>
      <c r="B50" s="18">
        <f>E5*0.75</f>
        <v>3807000</v>
      </c>
      <c r="C50" s="18">
        <f>E5*0.25</f>
        <v>1269000</v>
      </c>
      <c r="D50" s="4"/>
      <c r="E50" s="4"/>
      <c r="F50" s="4"/>
      <c r="G50" s="4"/>
      <c r="J50" s="11"/>
      <c r="K50" s="11"/>
      <c r="L50" s="11"/>
    </row>
    <row r="51" spans="1:12" x14ac:dyDescent="0.25">
      <c r="A51" s="9" t="s">
        <v>36</v>
      </c>
      <c r="B51" s="18">
        <f>E6</f>
        <v>1943000</v>
      </c>
      <c r="C51" s="16">
        <f>C16*1.2*0.15</f>
        <v>0</v>
      </c>
      <c r="D51" s="4">
        <f>D16*1.2*0.15</f>
        <v>0</v>
      </c>
      <c r="E51" s="4">
        <f>E16*1.2*0.15</f>
        <v>0</v>
      </c>
      <c r="F51" s="4">
        <f>F16*1.2*0.15</f>
        <v>0</v>
      </c>
      <c r="G51" s="4">
        <f>G16*1.2*0.15</f>
        <v>0</v>
      </c>
      <c r="J51" s="11"/>
      <c r="K51" s="11"/>
      <c r="L51" s="11"/>
    </row>
    <row r="52" spans="1:12" x14ac:dyDescent="0.25">
      <c r="A52" s="4" t="s">
        <v>37</v>
      </c>
      <c r="B52" s="20">
        <f>7000000*1.2*0.25</f>
        <v>2100000</v>
      </c>
      <c r="C52" s="5">
        <f>C19*1.2*0.25</f>
        <v>2184000</v>
      </c>
      <c r="D52" s="5">
        <f t="shared" ref="D52:G52" si="20">D19*1.2*0.25</f>
        <v>2352000</v>
      </c>
      <c r="E52" s="5">
        <f t="shared" si="20"/>
        <v>2016000</v>
      </c>
      <c r="F52" s="5">
        <f t="shared" si="20"/>
        <v>1932000</v>
      </c>
      <c r="G52" s="5">
        <f t="shared" si="20"/>
        <v>2142000</v>
      </c>
    </row>
    <row r="53" spans="1:12" x14ac:dyDescent="0.25">
      <c r="A53" s="2" t="s">
        <v>38</v>
      </c>
      <c r="B53" s="4"/>
      <c r="C53" s="21">
        <f>B19*1.2*0.75</f>
        <v>6300000</v>
      </c>
      <c r="D53" s="17">
        <f t="shared" ref="D53:G53" si="21">C19*1.2*0.75</f>
        <v>6552000</v>
      </c>
      <c r="E53" s="17">
        <f t="shared" si="21"/>
        <v>7056000</v>
      </c>
      <c r="F53" s="17">
        <f t="shared" si="21"/>
        <v>6048000</v>
      </c>
      <c r="G53" s="17">
        <f t="shared" si="21"/>
        <v>5796000</v>
      </c>
      <c r="H53" s="4"/>
    </row>
    <row r="54" spans="1:12" x14ac:dyDescent="0.25">
      <c r="A54" s="2" t="s">
        <v>39</v>
      </c>
      <c r="B54" s="4"/>
      <c r="C54" s="24">
        <f t="shared" ref="C54:G54" si="22">(B21*1.2+B22*1.1)</f>
        <v>1960000</v>
      </c>
      <c r="D54" s="4">
        <f t="shared" si="22"/>
        <v>2021840.0000000002</v>
      </c>
      <c r="E54" s="4">
        <f t="shared" si="22"/>
        <v>2140055.2000000002</v>
      </c>
      <c r="F54" s="4">
        <f t="shared" si="22"/>
        <v>1920406.152</v>
      </c>
      <c r="G54" s="4">
        <f t="shared" si="22"/>
        <v>1869773.4135199999</v>
      </c>
    </row>
    <row r="55" spans="1:12" x14ac:dyDescent="0.25">
      <c r="A55" s="2" t="s">
        <v>58</v>
      </c>
      <c r="B55" s="4">
        <f t="shared" ref="B55:G55" si="23">B28-B29</f>
        <v>2340000</v>
      </c>
      <c r="C55" s="4">
        <f t="shared" si="23"/>
        <v>2340000</v>
      </c>
      <c r="D55" s="4">
        <f t="shared" si="23"/>
        <v>2340000</v>
      </c>
      <c r="E55" s="4">
        <f t="shared" si="23"/>
        <v>3042000</v>
      </c>
      <c r="F55" s="4">
        <f t="shared" si="23"/>
        <v>2340000</v>
      </c>
      <c r="G55" s="4">
        <f t="shared" si="23"/>
        <v>2340000</v>
      </c>
    </row>
    <row r="56" spans="1:12" x14ac:dyDescent="0.25">
      <c r="A56" s="2" t="s">
        <v>59</v>
      </c>
      <c r="B56" s="4"/>
      <c r="C56" s="4">
        <f>B29+B30</f>
        <v>2010000</v>
      </c>
      <c r="D56" s="4">
        <f>C29+C30</f>
        <v>2010000</v>
      </c>
      <c r="E56" s="4">
        <f>D29+D30</f>
        <v>2010000</v>
      </c>
      <c r="F56" s="17">
        <f>E29+E30</f>
        <v>2613000</v>
      </c>
      <c r="G56" s="4">
        <f>F29+F30</f>
        <v>2010000</v>
      </c>
    </row>
    <row r="57" spans="1:12" x14ac:dyDescent="0.25">
      <c r="A57" s="2" t="s">
        <v>20</v>
      </c>
      <c r="B57" s="4">
        <f t="shared" ref="B57:G57" si="24">B23*1.2</f>
        <v>11520</v>
      </c>
      <c r="C57" s="4">
        <f t="shared" si="24"/>
        <v>11980.8</v>
      </c>
      <c r="D57" s="4">
        <f t="shared" si="24"/>
        <v>12902.4</v>
      </c>
      <c r="E57" s="4">
        <f t="shared" si="24"/>
        <v>11059.199999999999</v>
      </c>
      <c r="F57" s="4">
        <f t="shared" si="24"/>
        <v>10598.4</v>
      </c>
      <c r="G57" s="4">
        <f t="shared" si="24"/>
        <v>11750.4</v>
      </c>
    </row>
    <row r="58" spans="1:12" x14ac:dyDescent="0.25">
      <c r="A58" s="2" t="s">
        <v>42</v>
      </c>
      <c r="B58" s="4"/>
      <c r="C58" s="4"/>
      <c r="D58" s="14">
        <f>1200000*0.28/4</f>
        <v>84000.000000000015</v>
      </c>
      <c r="E58" s="4"/>
      <c r="F58" s="4"/>
      <c r="G58" s="14">
        <f>1500000*0.28/2-D58</f>
        <v>126000.00000000001</v>
      </c>
    </row>
    <row r="59" spans="1:12" x14ac:dyDescent="0.25">
      <c r="A59" s="2" t="s">
        <v>43</v>
      </c>
      <c r="B59" s="4"/>
      <c r="C59" s="4"/>
      <c r="E59" s="4"/>
      <c r="F59" s="4"/>
      <c r="G59" s="14">
        <v>500000</v>
      </c>
    </row>
    <row r="60" spans="1:12" x14ac:dyDescent="0.25">
      <c r="A60" s="2" t="s">
        <v>44</v>
      </c>
      <c r="B60" s="4"/>
      <c r="C60" s="4"/>
      <c r="D60" s="14">
        <f>K48</f>
        <v>750000</v>
      </c>
      <c r="E60" s="4"/>
      <c r="F60" s="4"/>
      <c r="G60" s="14">
        <f>K48</f>
        <v>750000</v>
      </c>
    </row>
    <row r="61" spans="1:12" x14ac:dyDescent="0.25">
      <c r="A61" s="2" t="s">
        <v>45</v>
      </c>
      <c r="B61" s="4"/>
      <c r="C61" s="4"/>
      <c r="D61" s="14">
        <f>K49</f>
        <v>45000</v>
      </c>
      <c r="E61" s="4"/>
      <c r="F61" s="4"/>
      <c r="G61" s="14">
        <f>D91</f>
        <v>39375</v>
      </c>
    </row>
    <row r="62" spans="1:12" x14ac:dyDescent="0.25">
      <c r="A62" s="2" t="s">
        <v>54</v>
      </c>
      <c r="B62" s="4">
        <f>380000*1.2</f>
        <v>456000</v>
      </c>
      <c r="C62" s="4">
        <f t="shared" ref="C62:G62" si="25">380000*1.2</f>
        <v>456000</v>
      </c>
      <c r="D62" s="4">
        <f t="shared" si="25"/>
        <v>456000</v>
      </c>
      <c r="E62" s="4">
        <f t="shared" si="25"/>
        <v>456000</v>
      </c>
      <c r="F62" s="4">
        <f t="shared" si="25"/>
        <v>456000</v>
      </c>
      <c r="G62" s="4">
        <f t="shared" si="25"/>
        <v>456000</v>
      </c>
    </row>
    <row r="63" spans="1:12" x14ac:dyDescent="0.25">
      <c r="A63" s="2" t="s">
        <v>46</v>
      </c>
      <c r="B63" s="19">
        <f>E7</f>
        <v>987900</v>
      </c>
      <c r="C63" s="17">
        <f t="shared" ref="C63:G63" si="26">B37</f>
        <v>1502080</v>
      </c>
      <c r="D63" s="4">
        <f t="shared" si="26"/>
        <v>1567963.2</v>
      </c>
      <c r="E63" s="4">
        <f t="shared" si="26"/>
        <v>1700640.4</v>
      </c>
      <c r="F63" s="4">
        <f t="shared" si="26"/>
        <v>1432489.108</v>
      </c>
      <c r="G63" s="4">
        <f t="shared" si="26"/>
        <v>1364738.0310799999</v>
      </c>
    </row>
    <row r="64" spans="1:12" ht="16.149999999999999" customHeight="1" x14ac:dyDescent="0.25">
      <c r="A64" s="7" t="s">
        <v>22</v>
      </c>
      <c r="B64" s="8">
        <f>SUM(B50:B63)</f>
        <v>11645420</v>
      </c>
      <c r="C64" s="8">
        <f t="shared" ref="C64:G64" si="27">SUM(C50:C63)</f>
        <v>18033060.800000001</v>
      </c>
      <c r="D64" s="8">
        <f t="shared" si="27"/>
        <v>18191705.600000001</v>
      </c>
      <c r="E64" s="8">
        <f t="shared" si="27"/>
        <v>18431754.799999997</v>
      </c>
      <c r="F64" s="8">
        <f t="shared" si="27"/>
        <v>16752493.66</v>
      </c>
      <c r="G64" s="8">
        <f t="shared" si="27"/>
        <v>17405636.844599999</v>
      </c>
    </row>
    <row r="67" spans="1:8" x14ac:dyDescent="0.25">
      <c r="A67" s="30" t="s">
        <v>27</v>
      </c>
      <c r="B67" s="30"/>
      <c r="C67" s="30"/>
      <c r="D67" s="30"/>
      <c r="E67" s="30"/>
      <c r="F67" s="30"/>
      <c r="G67" s="30"/>
    </row>
    <row r="68" spans="1:8" x14ac:dyDescent="0.25">
      <c r="A68" s="2"/>
      <c r="B68" s="3" t="s">
        <v>8</v>
      </c>
      <c r="C68" s="3" t="s">
        <v>9</v>
      </c>
      <c r="D68" s="3" t="s">
        <v>10</v>
      </c>
      <c r="E68" s="3" t="s">
        <v>11</v>
      </c>
      <c r="F68" s="3" t="s">
        <v>10</v>
      </c>
      <c r="G68" s="3" t="s">
        <v>8</v>
      </c>
    </row>
    <row r="69" spans="1:8" x14ac:dyDescent="0.25">
      <c r="A69" s="2" t="s">
        <v>51</v>
      </c>
      <c r="B69" s="24">
        <v>190890</v>
      </c>
      <c r="C69" s="4">
        <f>B72</f>
        <v>-4268930</v>
      </c>
      <c r="D69" s="4">
        <f t="shared" ref="D69:G69" si="28">C72</f>
        <v>-6836390.8000000007</v>
      </c>
      <c r="E69" s="4">
        <f t="shared" si="28"/>
        <v>-5098496.4000000022</v>
      </c>
      <c r="F69" s="4">
        <f t="shared" si="28"/>
        <v>-3024651.1999999993</v>
      </c>
      <c r="G69" s="4">
        <f t="shared" si="28"/>
        <v>-385144.8599999994</v>
      </c>
    </row>
    <row r="70" spans="1:8" x14ac:dyDescent="0.25">
      <c r="A70" s="9" t="s">
        <v>48</v>
      </c>
      <c r="B70" s="4">
        <f>B45</f>
        <v>7185600</v>
      </c>
      <c r="C70" s="4">
        <f t="shared" ref="C70:G70" si="29">C45</f>
        <v>15465600</v>
      </c>
      <c r="D70" s="4">
        <f t="shared" si="29"/>
        <v>19929600</v>
      </c>
      <c r="E70" s="4">
        <f t="shared" si="29"/>
        <v>20505600</v>
      </c>
      <c r="F70" s="4">
        <f t="shared" si="29"/>
        <v>19392000</v>
      </c>
      <c r="G70" s="4">
        <f t="shared" si="29"/>
        <v>18220800</v>
      </c>
    </row>
    <row r="71" spans="1:8" x14ac:dyDescent="0.25">
      <c r="A71" s="4" t="s">
        <v>49</v>
      </c>
      <c r="B71" s="6">
        <f>B64</f>
        <v>11645420</v>
      </c>
      <c r="C71" s="6">
        <f t="shared" ref="C71:G71" si="30">C64</f>
        <v>18033060.800000001</v>
      </c>
      <c r="D71" s="6">
        <f t="shared" si="30"/>
        <v>18191705.600000001</v>
      </c>
      <c r="E71" s="6">
        <f t="shared" si="30"/>
        <v>18431754.799999997</v>
      </c>
      <c r="F71" s="6">
        <f t="shared" si="30"/>
        <v>16752493.66</v>
      </c>
      <c r="G71" s="6">
        <f t="shared" si="30"/>
        <v>17405636.844599999</v>
      </c>
    </row>
    <row r="72" spans="1:8" ht="21" x14ac:dyDescent="0.35">
      <c r="A72" s="10" t="s">
        <v>50</v>
      </c>
      <c r="B72" s="25">
        <f>B69+B70-B71</f>
        <v>-4268930</v>
      </c>
      <c r="C72" s="25">
        <f t="shared" ref="C72:G72" si="31">C69+C70-C71</f>
        <v>-6836390.8000000007</v>
      </c>
      <c r="D72" s="25">
        <f t="shared" si="31"/>
        <v>-5098496.4000000022</v>
      </c>
      <c r="E72" s="25">
        <f t="shared" si="31"/>
        <v>-3024651.1999999993</v>
      </c>
      <c r="F72" s="25">
        <f t="shared" si="31"/>
        <v>-385144.8599999994</v>
      </c>
      <c r="G72" s="22">
        <f t="shared" si="31"/>
        <v>430018.29540000111</v>
      </c>
    </row>
    <row r="73" spans="1:8" x14ac:dyDescent="0.25">
      <c r="B73" s="5"/>
      <c r="C73" s="5"/>
      <c r="D73" s="5"/>
      <c r="E73" s="5"/>
      <c r="F73" s="5"/>
    </row>
    <row r="74" spans="1:8" x14ac:dyDescent="0.25">
      <c r="B74" s="5"/>
      <c r="C74" s="5"/>
      <c r="D74" s="5"/>
      <c r="E74" s="5"/>
      <c r="F74" s="5"/>
    </row>
    <row r="75" spans="1:8" x14ac:dyDescent="0.25">
      <c r="B75" s="5"/>
      <c r="C75" s="5"/>
      <c r="D75" s="5"/>
      <c r="E75" s="5"/>
      <c r="F75" s="5"/>
    </row>
    <row r="76" spans="1:8" x14ac:dyDescent="0.25">
      <c r="A76" s="2"/>
      <c r="B76" s="3" t="s">
        <v>8</v>
      </c>
      <c r="C76" s="3" t="s">
        <v>9</v>
      </c>
      <c r="D76" s="3" t="s">
        <v>10</v>
      </c>
      <c r="E76" s="3" t="s">
        <v>11</v>
      </c>
      <c r="F76" s="3" t="s">
        <v>10</v>
      </c>
      <c r="G76" s="3" t="s">
        <v>8</v>
      </c>
      <c r="H76" s="3" t="s">
        <v>22</v>
      </c>
    </row>
    <row r="77" spans="1:8" x14ac:dyDescent="0.25">
      <c r="A77" s="2" t="s">
        <v>52</v>
      </c>
      <c r="B77" s="6">
        <f>-B72*0.005</f>
        <v>21344.65</v>
      </c>
      <c r="C77" s="6">
        <f t="shared" ref="C77:G77" si="32">-C72*0.005</f>
        <v>34181.954000000005</v>
      </c>
      <c r="D77" s="6">
        <f t="shared" si="32"/>
        <v>25492.482000000011</v>
      </c>
      <c r="E77" s="6">
        <f t="shared" si="32"/>
        <v>15123.255999999996</v>
      </c>
      <c r="F77" s="6">
        <f t="shared" si="32"/>
        <v>1925.7242999999971</v>
      </c>
      <c r="G77" s="6">
        <f t="shared" si="32"/>
        <v>-2150.0914770000054</v>
      </c>
      <c r="H77" s="26">
        <f>SUM(B77:G77)</f>
        <v>95917.974822999997</v>
      </c>
    </row>
    <row r="78" spans="1:8" x14ac:dyDescent="0.25">
      <c r="B78" s="5"/>
      <c r="C78" s="5"/>
      <c r="D78" s="5"/>
      <c r="E78" s="5"/>
      <c r="F78" s="5"/>
      <c r="G78" s="5"/>
    </row>
    <row r="79" spans="1:8" x14ac:dyDescent="0.25">
      <c r="B79" s="5"/>
      <c r="C79" s="5"/>
      <c r="D79" s="5"/>
      <c r="E79" s="5"/>
      <c r="F79" s="5"/>
      <c r="G79" s="5"/>
    </row>
    <row r="80" spans="1:8" x14ac:dyDescent="0.25">
      <c r="B80" s="5"/>
      <c r="C80" s="5"/>
      <c r="D80" s="5"/>
      <c r="E80" s="5"/>
      <c r="F80" s="5"/>
      <c r="G80" s="5"/>
    </row>
    <row r="81" spans="1:9" x14ac:dyDescent="0.25">
      <c r="A81" s="29" t="s">
        <v>67</v>
      </c>
      <c r="B81" s="4">
        <f>C43*0.015/12</f>
        <v>12000</v>
      </c>
      <c r="C81" s="4">
        <f t="shared" ref="C81:G81" si="33">D43*0.015/12</f>
        <v>12480</v>
      </c>
      <c r="D81" s="4">
        <f t="shared" si="33"/>
        <v>13440</v>
      </c>
      <c r="E81" s="4">
        <f t="shared" si="33"/>
        <v>11520</v>
      </c>
      <c r="F81" s="4">
        <f t="shared" si="33"/>
        <v>11040</v>
      </c>
      <c r="G81" s="4">
        <f t="shared" si="33"/>
        <v>12240</v>
      </c>
      <c r="H81" s="6">
        <f>SUM(B81:G81)</f>
        <v>72720</v>
      </c>
      <c r="I81" t="s">
        <v>62</v>
      </c>
    </row>
    <row r="82" spans="1:9" x14ac:dyDescent="0.25">
      <c r="A82" s="29"/>
      <c r="B82" s="27">
        <v>2000</v>
      </c>
      <c r="C82" s="27">
        <f>B82</f>
        <v>2000</v>
      </c>
      <c r="D82" s="27">
        <f t="shared" ref="D82:G82" si="34">C82</f>
        <v>2000</v>
      </c>
      <c r="E82" s="27">
        <f t="shared" si="34"/>
        <v>2000</v>
      </c>
      <c r="F82" s="27">
        <f t="shared" si="34"/>
        <v>2000</v>
      </c>
      <c r="G82" s="27">
        <f t="shared" si="34"/>
        <v>2000</v>
      </c>
      <c r="H82" s="6">
        <f>SUM(B82:G82)</f>
        <v>12000</v>
      </c>
      <c r="I82" t="s">
        <v>69</v>
      </c>
    </row>
    <row r="83" spans="1:9" x14ac:dyDescent="0.25">
      <c r="A83" s="29"/>
      <c r="B83" s="28">
        <f>SUM(B81:B82)</f>
        <v>14000</v>
      </c>
      <c r="C83" s="28">
        <f t="shared" ref="C83:G83" si="35">SUM(C81:C82)</f>
        <v>14480</v>
      </c>
      <c r="D83" s="28">
        <f t="shared" si="35"/>
        <v>15440</v>
      </c>
      <c r="E83" s="28">
        <f t="shared" si="35"/>
        <v>13520</v>
      </c>
      <c r="F83" s="28">
        <f t="shared" si="35"/>
        <v>13040</v>
      </c>
      <c r="G83" s="28">
        <f t="shared" si="35"/>
        <v>14240</v>
      </c>
      <c r="H83" s="26">
        <f>SUM(B83:G83)</f>
        <v>84720</v>
      </c>
      <c r="I83" t="s">
        <v>22</v>
      </c>
    </row>
    <row r="89" spans="1:9" x14ac:dyDescent="0.25">
      <c r="A89" s="2"/>
      <c r="B89" s="2" t="s">
        <v>60</v>
      </c>
      <c r="C89" s="2" t="s">
        <v>61</v>
      </c>
      <c r="D89" s="2" t="s">
        <v>62</v>
      </c>
      <c r="E89" s="2" t="s">
        <v>63</v>
      </c>
    </row>
    <row r="90" spans="1:9" x14ac:dyDescent="0.25">
      <c r="A90" s="2">
        <v>1</v>
      </c>
      <c r="B90" s="2">
        <v>6000000</v>
      </c>
      <c r="C90" s="2">
        <f>B90/8</f>
        <v>750000</v>
      </c>
      <c r="D90" s="2">
        <f>B90*0.03/4</f>
        <v>45000</v>
      </c>
      <c r="E90" s="10">
        <f>C90+D90</f>
        <v>795000</v>
      </c>
      <c r="F90" t="s">
        <v>64</v>
      </c>
    </row>
    <row r="91" spans="1:9" x14ac:dyDescent="0.25">
      <c r="A91" s="2">
        <v>2</v>
      </c>
      <c r="B91" s="2">
        <f>B90-C90</f>
        <v>5250000</v>
      </c>
      <c r="C91" s="2">
        <f>C90</f>
        <v>750000</v>
      </c>
      <c r="D91" s="2">
        <f>B91*0.03/4</f>
        <v>39375</v>
      </c>
      <c r="E91" s="10">
        <f>C91+D91</f>
        <v>789375</v>
      </c>
      <c r="F91" t="s">
        <v>65</v>
      </c>
    </row>
    <row r="92" spans="1:9" x14ac:dyDescent="0.25">
      <c r="A92" s="2">
        <v>3</v>
      </c>
      <c r="B92" s="2">
        <f>B91-C91</f>
        <v>4500000</v>
      </c>
      <c r="C92" s="2">
        <f t="shared" ref="C92" si="36">C91</f>
        <v>750000</v>
      </c>
      <c r="D92" s="2">
        <f>B92*0.03/4</f>
        <v>33750</v>
      </c>
      <c r="E92" s="10">
        <f>C92+D92</f>
        <v>783750</v>
      </c>
      <c r="F92" t="s">
        <v>68</v>
      </c>
    </row>
  </sheetData>
  <mergeCells count="9">
    <mergeCell ref="A81:A83"/>
    <mergeCell ref="A48:G48"/>
    <mergeCell ref="A67:G67"/>
    <mergeCell ref="A33:G33"/>
    <mergeCell ref="A3:B3"/>
    <mergeCell ref="A10:G10"/>
    <mergeCell ref="A17:G17"/>
    <mergeCell ref="A26:G26"/>
    <mergeCell ref="A39:G39"/>
  </mergeCells>
  <pageMargins left="0.7" right="0.7" top="0.75" bottom="0.75" header="0.3" footer="0.3"/>
  <pageSetup paperSize="9" scale="73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6443-D9E6-4FC1-B269-88A2DFC19C15}">
  <dimension ref="E7:K9"/>
  <sheetViews>
    <sheetView workbookViewId="0">
      <selection activeCell="K8" sqref="K8"/>
    </sheetView>
  </sheetViews>
  <sheetFormatPr baseColWidth="10" defaultRowHeight="15" x14ac:dyDescent="0.25"/>
  <sheetData>
    <row r="7" spans="5:11" x14ac:dyDescent="0.25">
      <c r="E7" t="s">
        <v>70</v>
      </c>
      <c r="F7" s="33">
        <v>2000</v>
      </c>
    </row>
    <row r="8" spans="5:11" x14ac:dyDescent="0.25">
      <c r="E8" t="s">
        <v>72</v>
      </c>
      <c r="F8">
        <v>400</v>
      </c>
      <c r="H8" t="s">
        <v>71</v>
      </c>
      <c r="I8" s="33">
        <v>800</v>
      </c>
      <c r="K8" s="33">
        <f>F7+I8</f>
        <v>2800</v>
      </c>
    </row>
    <row r="9" spans="5:11" x14ac:dyDescent="0.25">
      <c r="E9" t="s">
        <v>73</v>
      </c>
      <c r="F9">
        <f>F7-F8</f>
        <v>1600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Exercice 2</vt:lpstr>
      <vt:lpstr>Feuil1</vt:lpstr>
      <vt:lpstr>'Exercice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cp:lastPrinted>2020-03-04T09:01:58Z</cp:lastPrinted>
  <dcterms:created xsi:type="dcterms:W3CDTF">2018-10-31T09:01:39Z</dcterms:created>
  <dcterms:modified xsi:type="dcterms:W3CDTF">2021-03-10T11:25:18Z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55cc1e0e-dcf2-4575-8300-b3995ceece7e</vt:lpwstr>
  </property>
</Properties>
</file>