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2/CG2P/R4 CG2P09/Thème 3 La synthèse budgétaire/"/>
    </mc:Choice>
  </mc:AlternateContent>
  <xr:revisionPtr revIDLastSave="5" documentId="8_{04C45148-C2C8-4119-A984-5C7068F358A5}" xr6:coauthVersionLast="47" xr6:coauthVersionMax="47" xr10:uidLastSave="{EF21A4F8-B5DC-4D12-B20E-228F24F36213}"/>
  <bookViews>
    <workbookView xWindow="-120" yWindow="-120" windowWidth="29040" windowHeight="15840" xr2:uid="{00000000-000D-0000-FFFF-FFFF00000000}"/>
  </bookViews>
  <sheets>
    <sheet name="Exercice 2" sheetId="1" r:id="rId1"/>
    <sheet name="Feuil2" sheetId="3" r:id="rId2"/>
    <sheet name="Feuil1" sheetId="2" r:id="rId3"/>
    <sheet name="Feuil3" sheetId="4" r:id="rId4"/>
  </sheets>
  <definedNames>
    <definedName name="_xlnm.Print_Area" localSheetId="0">'Exercice 2'!$A$10:$G$71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B21" i="1"/>
  <c r="C20" i="1"/>
  <c r="I12" i="4"/>
  <c r="I11" i="4"/>
  <c r="I13" i="4" s="1"/>
  <c r="D12" i="4"/>
  <c r="E12" i="4"/>
  <c r="F12" i="4"/>
  <c r="G12" i="4"/>
  <c r="H12" i="4"/>
  <c r="C12" i="4"/>
  <c r="C85" i="1" l="1"/>
  <c r="D85" i="1"/>
  <c r="E85" i="1"/>
  <c r="F85" i="1"/>
  <c r="B85" i="1"/>
  <c r="H85" i="1" s="1"/>
  <c r="F5" i="3" l="1"/>
  <c r="C11" i="3" s="1"/>
  <c r="C5" i="3"/>
  <c r="C6" i="3" s="1"/>
  <c r="C9" i="3" s="1"/>
  <c r="F5" i="2" l="1"/>
  <c r="G5" i="2"/>
  <c r="E6" i="2" s="1"/>
  <c r="E7" i="2" s="1"/>
  <c r="B100" i="1"/>
  <c r="B98" i="1"/>
  <c r="B97" i="1"/>
  <c r="B101" i="1" s="1"/>
  <c r="F7" i="2" l="1"/>
  <c r="E8" i="2"/>
  <c r="F6" i="2"/>
  <c r="H6" i="2"/>
  <c r="H5" i="2"/>
  <c r="G6" i="2"/>
  <c r="G7" i="2" s="1"/>
  <c r="J47" i="1"/>
  <c r="K48" i="1" s="1"/>
  <c r="B51" i="1"/>
  <c r="G8" i="2" l="1"/>
  <c r="G9" i="2" s="1"/>
  <c r="G10" i="2" s="1"/>
  <c r="G11" i="2" s="1"/>
  <c r="G12" i="2" s="1"/>
  <c r="G13" i="2"/>
  <c r="K47" i="1"/>
  <c r="E9" i="2"/>
  <c r="F8" i="2"/>
  <c r="H8" i="2"/>
  <c r="H7" i="2"/>
  <c r="E10" i="2" l="1"/>
  <c r="F9" i="2"/>
  <c r="H9" i="2"/>
  <c r="E11" i="2" l="1"/>
  <c r="F10" i="2"/>
  <c r="H10" i="2"/>
  <c r="C81" i="1"/>
  <c r="H6" i="1"/>
  <c r="H7" i="1"/>
  <c r="H10" i="1"/>
  <c r="H12" i="1" s="1"/>
  <c r="H11" i="1"/>
  <c r="C18" i="1"/>
  <c r="D18" i="1"/>
  <c r="E18" i="1"/>
  <c r="F18" i="1"/>
  <c r="G18" i="1"/>
  <c r="G51" i="1" s="1"/>
  <c r="E12" i="2" l="1"/>
  <c r="F12" i="2" s="1"/>
  <c r="F11" i="2"/>
  <c r="F51" i="1"/>
  <c r="G52" i="1"/>
  <c r="F52" i="1"/>
  <c r="E51" i="1"/>
  <c r="E52" i="1"/>
  <c r="D51" i="1"/>
  <c r="C51" i="1"/>
  <c r="D52" i="1"/>
  <c r="H11" i="2"/>
  <c r="H12" i="2"/>
  <c r="D81" i="1"/>
  <c r="E81" i="1" s="1"/>
  <c r="F81" i="1" s="1"/>
  <c r="G81" i="1" s="1"/>
  <c r="D89" i="1"/>
  <c r="C89" i="1"/>
  <c r="C90" i="1" s="1"/>
  <c r="H81" i="1" l="1"/>
  <c r="E89" i="1"/>
  <c r="B90" i="1"/>
  <c r="C91" i="1"/>
  <c r="C61" i="1"/>
  <c r="D61" i="1"/>
  <c r="E61" i="1"/>
  <c r="F61" i="1"/>
  <c r="G61" i="1"/>
  <c r="B61" i="1"/>
  <c r="D90" i="1" l="1"/>
  <c r="B91" i="1"/>
  <c r="D91" i="1" s="1"/>
  <c r="E91" i="1" s="1"/>
  <c r="E90" i="1" l="1"/>
  <c r="G60" i="1"/>
  <c r="D60" i="1"/>
  <c r="E5" i="1"/>
  <c r="C49" i="1" s="1"/>
  <c r="B4" i="1"/>
  <c r="B40" i="1" s="1"/>
  <c r="B62" i="1"/>
  <c r="G57" i="1"/>
  <c r="B27" i="1"/>
  <c r="E6" i="1"/>
  <c r="B50" i="1" s="1"/>
  <c r="E29" i="1"/>
  <c r="C19" i="1"/>
  <c r="B18" i="1"/>
  <c r="C13" i="1"/>
  <c r="D13" i="1"/>
  <c r="E13" i="1"/>
  <c r="F13" i="1"/>
  <c r="H43" i="1" s="1"/>
  <c r="G13" i="1"/>
  <c r="B13" i="1"/>
  <c r="B29" i="1"/>
  <c r="B28" i="1"/>
  <c r="C52" i="1" l="1"/>
  <c r="I43" i="1"/>
  <c r="H42" i="1"/>
  <c r="G80" i="1" s="1"/>
  <c r="D19" i="1"/>
  <c r="F19" i="1" s="1"/>
  <c r="D22" i="1"/>
  <c r="D56" i="1" s="1"/>
  <c r="D14" i="1"/>
  <c r="E21" i="1"/>
  <c r="E14" i="1"/>
  <c r="C21" i="1"/>
  <c r="D53" i="1" s="1"/>
  <c r="C14" i="1"/>
  <c r="B34" i="1"/>
  <c r="B14" i="1"/>
  <c r="G34" i="1"/>
  <c r="G14" i="1"/>
  <c r="F14" i="1"/>
  <c r="G43" i="1"/>
  <c r="C40" i="1"/>
  <c r="B41" i="1"/>
  <c r="B44" i="1" s="1"/>
  <c r="B69" i="1" s="1"/>
  <c r="G41" i="1"/>
  <c r="F42" i="1"/>
  <c r="E80" i="1" s="1"/>
  <c r="E82" i="1" s="1"/>
  <c r="B22" i="1"/>
  <c r="B56" i="1" s="1"/>
  <c r="G22" i="1"/>
  <c r="G56" i="1" s="1"/>
  <c r="E43" i="1"/>
  <c r="C28" i="1"/>
  <c r="C55" i="1"/>
  <c r="B30" i="1"/>
  <c r="C29" i="1"/>
  <c r="D29" i="1" s="1"/>
  <c r="F29" i="1" s="1"/>
  <c r="G29" i="1" s="1"/>
  <c r="G42" i="1"/>
  <c r="F80" i="1" s="1"/>
  <c r="F82" i="1" s="1"/>
  <c r="F43" i="1"/>
  <c r="F22" i="1"/>
  <c r="F56" i="1" s="1"/>
  <c r="F41" i="1"/>
  <c r="E42" i="1"/>
  <c r="D80" i="1" s="1"/>
  <c r="D82" i="1" s="1"/>
  <c r="F34" i="1"/>
  <c r="E22" i="1"/>
  <c r="E56" i="1" s="1"/>
  <c r="E41" i="1"/>
  <c r="D42" i="1"/>
  <c r="C80" i="1" s="1"/>
  <c r="C82" i="1" s="1"/>
  <c r="B54" i="1"/>
  <c r="E34" i="1"/>
  <c r="D41" i="1"/>
  <c r="D43" i="1"/>
  <c r="E27" i="1"/>
  <c r="F21" i="1"/>
  <c r="C41" i="1"/>
  <c r="B49" i="1"/>
  <c r="G21" i="1"/>
  <c r="C42" i="1"/>
  <c r="C27" i="1"/>
  <c r="E28" i="1"/>
  <c r="F55" i="1" s="1"/>
  <c r="D20" i="1"/>
  <c r="C34" i="1"/>
  <c r="C22" i="1"/>
  <c r="D21" i="1"/>
  <c r="D34" i="1"/>
  <c r="B35" i="1" l="1"/>
  <c r="B80" i="1"/>
  <c r="B82" i="1" s="1"/>
  <c r="C35" i="1"/>
  <c r="D23" i="1"/>
  <c r="H80" i="1"/>
  <c r="G82" i="1"/>
  <c r="G59" i="1"/>
  <c r="E19" i="1"/>
  <c r="D35" i="1"/>
  <c r="D36" i="1" s="1"/>
  <c r="E62" i="1" s="1"/>
  <c r="B36" i="1"/>
  <c r="C62" i="1" s="1"/>
  <c r="B23" i="1"/>
  <c r="C23" i="1"/>
  <c r="B63" i="1"/>
  <c r="B70" i="1" s="1"/>
  <c r="B71" i="1" s="1"/>
  <c r="B76" i="1" s="1"/>
  <c r="D59" i="1"/>
  <c r="G44" i="1"/>
  <c r="G69" i="1" s="1"/>
  <c r="C44" i="1"/>
  <c r="C69" i="1" s="1"/>
  <c r="D44" i="1"/>
  <c r="D69" i="1" s="1"/>
  <c r="D55" i="1"/>
  <c r="D28" i="1"/>
  <c r="F44" i="1"/>
  <c r="F69" i="1" s="1"/>
  <c r="C53" i="1"/>
  <c r="D27" i="1"/>
  <c r="C30" i="1"/>
  <c r="C54" i="1"/>
  <c r="E54" i="1"/>
  <c r="E30" i="1"/>
  <c r="C56" i="1"/>
  <c r="E20" i="1"/>
  <c r="E53" i="1"/>
  <c r="E44" i="1"/>
  <c r="E69" i="1" s="1"/>
  <c r="G19" i="1"/>
  <c r="H82" i="1" l="1"/>
  <c r="E35" i="1"/>
  <c r="E36" i="1" s="1"/>
  <c r="F62" i="1" s="1"/>
  <c r="C36" i="1"/>
  <c r="D62" i="1" s="1"/>
  <c r="E23" i="1"/>
  <c r="C68" i="1"/>
  <c r="E63" i="1"/>
  <c r="E70" i="1" s="1"/>
  <c r="C63" i="1"/>
  <c r="C70" i="1" s="1"/>
  <c r="F20" i="1"/>
  <c r="F53" i="1"/>
  <c r="F28" i="1"/>
  <c r="E55" i="1"/>
  <c r="F27" i="1"/>
  <c r="G27" i="1" s="1"/>
  <c r="D54" i="1"/>
  <c r="D30" i="1"/>
  <c r="F23" i="1" l="1"/>
  <c r="F35" i="1"/>
  <c r="D63" i="1"/>
  <c r="D70" i="1" s="1"/>
  <c r="C71" i="1"/>
  <c r="G30" i="1"/>
  <c r="G20" i="1"/>
  <c r="G53" i="1"/>
  <c r="F36" i="1"/>
  <c r="G62" i="1" s="1"/>
  <c r="F54" i="1"/>
  <c r="F63" i="1" s="1"/>
  <c r="F70" i="1" s="1"/>
  <c r="F30" i="1"/>
  <c r="G55" i="1"/>
  <c r="G28" i="1"/>
  <c r="G23" i="1" l="1"/>
  <c r="G35" i="1"/>
  <c r="G36" i="1" s="1"/>
  <c r="C76" i="1"/>
  <c r="D68" i="1"/>
  <c r="D71" i="1" s="1"/>
  <c r="G54" i="1"/>
  <c r="G63" i="1" s="1"/>
  <c r="G70" i="1" s="1"/>
  <c r="E68" i="1" l="1"/>
  <c r="E71" i="1" s="1"/>
  <c r="D76" i="1"/>
  <c r="F68" i="1" l="1"/>
  <c r="F71" i="1" s="1"/>
  <c r="E76" i="1"/>
  <c r="G68" i="1" l="1"/>
  <c r="G71" i="1" s="1"/>
  <c r="F76" i="1"/>
  <c r="H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60% en janvier et 40% en février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75% à 30j et 25% à 60j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16 000 000 * 20%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7 000 000 *20%
380 000 * 20%
460 000 *20%
1 280 000 * 10%
9 600 * 20%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7 176 000 *60%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19 200 000*15%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19 200 000*50%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19 200 000* 35%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 shapeId="0" xr:uid="{EEC06414-E4B1-441B-A270-FABC44503105}">
      <text>
        <r>
          <rPr>
            <b/>
            <sz val="9"/>
            <color indexed="81"/>
            <rFont val="Tahoma"/>
            <family val="2"/>
          </rPr>
          <t>7 000 0000*1,2 = 8 400 000€ TTC
25% * 8 400 000 = 2 100 000</t>
        </r>
      </text>
    </comment>
    <comment ref="C52" authorId="0" shapeId="0" xr:uid="{ABEC6230-811A-4035-A5C2-590266D33C9B}">
      <text>
        <r>
          <rPr>
            <b/>
            <sz val="9"/>
            <color indexed="81"/>
            <rFont val="Tahoma"/>
            <family val="2"/>
          </rPr>
          <t xml:space="preserve"> 8 400 000 *75%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460000 * 1,20
1 280 000 *1,10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3 000 000 - 660 000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Charges sociales de Janvier
660 000 + 1 350 000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9600 * 1,20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1" authorId="0" shapeId="0" xr:uid="{DE272817-A920-45AC-A584-335287BCE2AF}">
      <text>
        <r>
          <rPr>
            <b/>
            <sz val="9"/>
            <color indexed="81"/>
            <rFont val="Tahoma"/>
            <family val="2"/>
          </rPr>
          <t>380000*1,20</t>
        </r>
      </text>
    </comment>
    <comment ref="B7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4 268 930 *0,005 = 21 344,65€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0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9 600 000 * 1,5% * 1/12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0" authorId="0" shapeId="0" xr:uid="{5BB7AEF2-58E1-42E9-84D7-9AEDDDB9EA57}">
      <text>
        <r>
          <rPr>
            <b/>
            <sz val="9"/>
            <color indexed="81"/>
            <rFont val="Tahoma"/>
            <family val="2"/>
          </rPr>
          <t>9 216 000* 1,5% * 1/12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F5" authorId="0" shapeId="0" xr:uid="{C764F939-9305-464E-B62A-B899CC33A41A}">
      <text>
        <r>
          <rPr>
            <b/>
            <sz val="9"/>
            <color indexed="81"/>
            <rFont val="Tahoma"/>
            <family val="2"/>
          </rPr>
          <t>6000000*0,75%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 shapeId="0" xr:uid="{14BF115A-3FD6-4568-8D61-EFDB659F8294}">
      <text>
        <r>
          <rPr>
            <b/>
            <sz val="9"/>
            <color indexed="81"/>
            <rFont val="Tahoma"/>
            <family val="2"/>
          </rPr>
          <t>5 250 000 * 0,75%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<sst xmlns="http://schemas.openxmlformats.org/spreadsheetml/2006/main" count="170" uniqueCount="99">
  <si>
    <t>Etat des actifs circulants au 31/12/N</t>
  </si>
  <si>
    <t>Créances clients</t>
  </si>
  <si>
    <t>Banque</t>
  </si>
  <si>
    <t>Etat des dettes au 31/12/N</t>
  </si>
  <si>
    <t>Emprunt</t>
  </si>
  <si>
    <t>Fournisseurs</t>
  </si>
  <si>
    <t>Charges sociales</t>
  </si>
  <si>
    <t>TVA a décaisser</t>
  </si>
  <si>
    <t>J</t>
  </si>
  <si>
    <t>F</t>
  </si>
  <si>
    <t>M</t>
  </si>
  <si>
    <t>A</t>
  </si>
  <si>
    <t>Ventes en quantité</t>
  </si>
  <si>
    <t>PV  ht</t>
  </si>
  <si>
    <t>CA HT</t>
  </si>
  <si>
    <t>achats</t>
  </si>
  <si>
    <t>TVA COLLECTEE</t>
  </si>
  <si>
    <t>Loyer TVA 20%</t>
  </si>
  <si>
    <t>Services extérieurs 20%</t>
  </si>
  <si>
    <t>Services extérieurs 10%</t>
  </si>
  <si>
    <t>Services bancaires</t>
  </si>
  <si>
    <t>Services bancaires 20%</t>
  </si>
  <si>
    <t>TOTAL</t>
  </si>
  <si>
    <t>TVA DEDUCTIBLE</t>
  </si>
  <si>
    <t>BUDGET DES CHARGES DE PERSONNEL</t>
  </si>
  <si>
    <t>Charges sociales 22%</t>
  </si>
  <si>
    <t>Charges patronales 45%</t>
  </si>
  <si>
    <t>BUDGET DE TRESORERIE</t>
  </si>
  <si>
    <t>Prime de 30%</t>
  </si>
  <si>
    <t>BUDGET DES ENCAISSEMENTS</t>
  </si>
  <si>
    <t>Créances clients au bilan</t>
  </si>
  <si>
    <t>Comptant - 15%</t>
  </si>
  <si>
    <t>A 30 jours - 50%</t>
  </si>
  <si>
    <t>A 60 jours - 35%</t>
  </si>
  <si>
    <t>BUDGET DES DECAISSEMENTS</t>
  </si>
  <si>
    <t>Dettes Frs au bilan</t>
  </si>
  <si>
    <t>Dettes sociales au bilan</t>
  </si>
  <si>
    <t>Achats comptant 25%</t>
  </si>
  <si>
    <t>Achat à 30 jours 75%</t>
  </si>
  <si>
    <t>Services Extérieurs 30j 100%</t>
  </si>
  <si>
    <t>Salaire Brut</t>
  </si>
  <si>
    <t>TOTAL (SB +CP)</t>
  </si>
  <si>
    <t>Acomptes IS</t>
  </si>
  <si>
    <t>Dividendes</t>
  </si>
  <si>
    <t>Emprunt Capital</t>
  </si>
  <si>
    <t>Emprunt Intérêt</t>
  </si>
  <si>
    <t>TVA à décaisser</t>
  </si>
  <si>
    <t>TVA A DECAISSER</t>
  </si>
  <si>
    <t>Encaissements</t>
  </si>
  <si>
    <t>Décaissements</t>
  </si>
  <si>
    <t>Solde Final</t>
  </si>
  <si>
    <t>Solde Initial</t>
  </si>
  <si>
    <t>Intérêts CBC 0,50% par mois</t>
  </si>
  <si>
    <t>CA TTC</t>
  </si>
  <si>
    <t>Loyer</t>
  </si>
  <si>
    <t>BUDGET DE TVA</t>
  </si>
  <si>
    <t>BUDGET DES ACHATS ET FRAIS GENERAUX   HT</t>
  </si>
  <si>
    <t>BUDGET DES VENTES  HT</t>
  </si>
  <si>
    <t>Salaires nets  -&gt; Salariés</t>
  </si>
  <si>
    <t>Charges sociales (salariale + P)</t>
  </si>
  <si>
    <t>Capital du</t>
  </si>
  <si>
    <t>Rembt Capital</t>
  </si>
  <si>
    <t>Intérêts</t>
  </si>
  <si>
    <t>Annuité</t>
  </si>
  <si>
    <t>31/03/N</t>
  </si>
  <si>
    <t>30/06/N</t>
  </si>
  <si>
    <t>Achats HT</t>
  </si>
  <si>
    <t xml:space="preserve">Financement des créances </t>
  </si>
  <si>
    <t>30/09/N</t>
  </si>
  <si>
    <t>Frais fixes</t>
  </si>
  <si>
    <t>Salaire brut</t>
  </si>
  <si>
    <t>2 ans -&gt;  8 trimestres</t>
  </si>
  <si>
    <t>Mars</t>
  </si>
  <si>
    <t>Juin</t>
  </si>
  <si>
    <t>Septembre</t>
  </si>
  <si>
    <t>Décembre</t>
  </si>
  <si>
    <t>N</t>
  </si>
  <si>
    <t>N+1</t>
  </si>
  <si>
    <t>Capital à rembourser</t>
  </si>
  <si>
    <t xml:space="preserve">Taux annuel 3% </t>
  </si>
  <si>
    <t>Taux trimestriel : 3% /4  = 0,75%</t>
  </si>
  <si>
    <t>Remboursement du capital</t>
  </si>
  <si>
    <t>Paiement à la banque</t>
  </si>
  <si>
    <t>Janvier</t>
  </si>
  <si>
    <t>Salaire net</t>
  </si>
  <si>
    <t>-&gt; Payé le mois travaillé</t>
  </si>
  <si>
    <t>-&gt; Payées le 15 du mois d'après</t>
  </si>
  <si>
    <t>Charges sociales salariales (22%)</t>
  </si>
  <si>
    <t>Salaire Net</t>
  </si>
  <si>
    <t>Charges sociales patronales (45%)</t>
  </si>
  <si>
    <t>Salaire Net + Somme charges sociales</t>
  </si>
  <si>
    <t>Salaire brut + Charges sociales pat.</t>
  </si>
  <si>
    <t>Trimestres</t>
  </si>
  <si>
    <t>Echeance</t>
  </si>
  <si>
    <t>Période</t>
  </si>
  <si>
    <t>Janv - Mars</t>
  </si>
  <si>
    <t>Avril - Juin</t>
  </si>
  <si>
    <t>Emprunt 7 000 000€</t>
  </si>
  <si>
    <t>Intérêts (1,5% / 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</si>
</sst>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&quot;€&quot;_-;\-* #,##0\ &quot;€&quot;_-;_-* &quot;-&quot;??\ &quot;€&quot;_-;_-@_-"/>
    <numFmt numFmtId="166" formatCode="_-* #,##0\ [$€-40C]_-;\-* #,##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44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0" xfId="0" applyNumberFormat="1"/>
    <xf numFmtId="44" fontId="0" fillId="0" borderId="1" xfId="0" applyNumberFormat="1" applyBorder="1"/>
    <xf numFmtId="0" fontId="2" fillId="0" borderId="1" xfId="0" applyFont="1" applyBorder="1"/>
    <xf numFmtId="44" fontId="2" fillId="0" borderId="1" xfId="0" applyNumberFormat="1" applyFont="1" applyBorder="1"/>
    <xf numFmtId="44" fontId="0" fillId="0" borderId="1" xfId="1" applyFont="1" applyBorder="1" applyAlignment="1"/>
    <xf numFmtId="0" fontId="5" fillId="0" borderId="0" xfId="0" applyFont="1"/>
    <xf numFmtId="164" fontId="5" fillId="0" borderId="0" xfId="0" applyNumberFormat="1" applyFont="1"/>
    <xf numFmtId="9" fontId="5" fillId="0" borderId="0" xfId="0" applyNumberFormat="1" applyFont="1"/>
    <xf numFmtId="44" fontId="0" fillId="2" borderId="1" xfId="1" applyFont="1" applyFill="1" applyBorder="1"/>
    <xf numFmtId="44" fontId="2" fillId="0" borderId="1" xfId="1" applyFont="1" applyBorder="1"/>
    <xf numFmtId="44" fontId="0" fillId="0" borderId="1" xfId="1" applyFont="1" applyFill="1" applyBorder="1"/>
    <xf numFmtId="44" fontId="2" fillId="4" borderId="1" xfId="1" applyFont="1" applyFill="1" applyBorder="1"/>
    <xf numFmtId="44" fontId="0" fillId="3" borderId="1" xfId="1" applyFont="1" applyFill="1" applyBorder="1"/>
    <xf numFmtId="44" fontId="0" fillId="6" borderId="1" xfId="1" applyFont="1" applyFill="1" applyBorder="1"/>
    <xf numFmtId="165" fontId="0" fillId="0" borderId="1" xfId="1" applyNumberFormat="1" applyFont="1" applyBorder="1"/>
    <xf numFmtId="165" fontId="0" fillId="0" borderId="1" xfId="0" applyNumberFormat="1" applyBorder="1"/>
    <xf numFmtId="0" fontId="0" fillId="0" borderId="0" xfId="0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44" fontId="0" fillId="4" borderId="1" xfId="1" applyFont="1" applyFill="1" applyBorder="1"/>
    <xf numFmtId="44" fontId="0" fillId="8" borderId="1" xfId="1" applyFont="1" applyFill="1" applyBorder="1"/>
    <xf numFmtId="0" fontId="8" fillId="0" borderId="1" xfId="0" applyFont="1" applyBorder="1"/>
    <xf numFmtId="44" fontId="8" fillId="0" borderId="1" xfId="1" applyFont="1" applyBorder="1"/>
    <xf numFmtId="3" fontId="0" fillId="0" borderId="0" xfId="0" applyNumberFormat="1"/>
    <xf numFmtId="166" fontId="0" fillId="0" borderId="0" xfId="0" applyNumberFormat="1"/>
    <xf numFmtId="44" fontId="0" fillId="5" borderId="1" xfId="0" applyNumberFormat="1" applyFill="1" applyBorder="1"/>
    <xf numFmtId="44" fontId="2" fillId="2" borderId="1" xfId="0" applyNumberFormat="1" applyFont="1" applyFill="1" applyBorder="1"/>
    <xf numFmtId="44" fontId="2" fillId="2" borderId="1" xfId="1" applyFont="1" applyFill="1" applyBorder="1"/>
    <xf numFmtId="44" fontId="1" fillId="2" borderId="1" xfId="1" applyFont="1" applyFill="1" applyBorder="1"/>
    <xf numFmtId="44" fontId="2" fillId="3" borderId="1" xfId="1" applyFont="1" applyFill="1" applyBorder="1"/>
    <xf numFmtId="0" fontId="0" fillId="0" borderId="0" xfId="0" quotePrefix="1"/>
    <xf numFmtId="166" fontId="0" fillId="10" borderId="1" xfId="0" applyNumberFormat="1" applyFill="1" applyBorder="1"/>
    <xf numFmtId="0" fontId="0" fillId="0" borderId="1" xfId="0" applyBorder="1" applyAlignment="1">
      <alignment horizontal="center" wrapText="1"/>
    </xf>
    <xf numFmtId="166" fontId="0" fillId="0" borderId="1" xfId="0" applyNumberFormat="1" applyBorder="1"/>
    <xf numFmtId="166" fontId="0" fillId="9" borderId="1" xfId="0" applyNumberFormat="1" applyFill="1" applyBorder="1"/>
    <xf numFmtId="44" fontId="2" fillId="6" borderId="1" xfId="0" applyNumberFormat="1" applyFont="1" applyFill="1" applyBorder="1"/>
    <xf numFmtId="44" fontId="0" fillId="12" borderId="1" xfId="0" applyNumberFormat="1" applyFill="1" applyBorder="1"/>
    <xf numFmtId="0" fontId="2" fillId="0" borderId="0" xfId="0" applyFont="1"/>
    <xf numFmtId="44" fontId="2" fillId="6" borderId="1" xfId="1" applyFont="1" applyFill="1" applyBorder="1"/>
    <xf numFmtId="44" fontId="2" fillId="8" borderId="1" xfId="1" applyFont="1" applyFill="1" applyBorder="1"/>
    <xf numFmtId="44" fontId="1" fillId="0" borderId="1" xfId="1" applyFont="1" applyFill="1" applyBorder="1"/>
    <xf numFmtId="44" fontId="2" fillId="11" borderId="1" xfId="0" applyNumberFormat="1" applyFont="1" applyFill="1" applyBorder="1"/>
    <xf numFmtId="166" fontId="2" fillId="7" borderId="1" xfId="0" applyNumberFormat="1" applyFont="1" applyFill="1" applyBorder="1"/>
    <xf numFmtId="166" fontId="2" fillId="9" borderId="1" xfId="0" applyNumberFormat="1" applyFont="1" applyFill="1" applyBorder="1"/>
    <xf numFmtId="44" fontId="7" fillId="0" borderId="1" xfId="1" applyFont="1" applyFill="1" applyBorder="1"/>
    <xf numFmtId="44" fontId="6" fillId="0" borderId="1" xfId="1" applyFont="1" applyFill="1" applyBorder="1"/>
    <xf numFmtId="44" fontId="9" fillId="0" borderId="1" xfId="0" applyNumberFormat="1" applyFont="1" applyBorder="1"/>
    <xf numFmtId="44" fontId="9" fillId="2" borderId="1" xfId="0" applyNumberFormat="1" applyFont="1" applyFill="1" applyBorder="1"/>
    <xf numFmtId="44" fontId="0" fillId="2" borderId="1" xfId="0" applyNumberFormat="1" applyFill="1" applyBorder="1"/>
    <xf numFmtId="0" fontId="0" fillId="11" borderId="1" xfId="0" applyFill="1" applyBorder="1"/>
    <xf numFmtId="44" fontId="2" fillId="11" borderId="1" xfId="1" applyFont="1" applyFill="1" applyBorder="1"/>
    <xf numFmtId="44" fontId="0" fillId="11" borderId="1" xfId="1" applyFont="1" applyFill="1" applyBorder="1"/>
    <xf numFmtId="44" fontId="0" fillId="11" borderId="1" xfId="1" applyFont="1" applyFill="1" applyBorder="1" applyAlignment="1"/>
    <xf numFmtId="44" fontId="0" fillId="11" borderId="0" xfId="0" applyNumberFormat="1" applyFill="1"/>
    <xf numFmtId="0" fontId="0" fillId="5" borderId="1" xfId="0" applyFill="1" applyBorder="1"/>
    <xf numFmtId="44" fontId="0" fillId="5" borderId="1" xfId="1" applyFont="1" applyFill="1" applyBorder="1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1027340</xdr:colOff>
      <xdr:row>67</xdr:row>
      <xdr:rowOff>129268</xdr:rowOff>
    </xdr:from>
    <xdr:to>
      <xdr:col>2</xdr:col>
      <xdr:colOff>129268</xdr:colOff>
      <xdr:row>70</xdr:row>
      <xdr:rowOff>74840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687411" y="12314464"/>
          <a:ext cx="204107" cy="5170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883226</xdr:colOff>
      <xdr:row>53</xdr:row>
      <xdr:rowOff>60615</xdr:rowOff>
    </xdr:from>
    <xdr:to>
      <xdr:col>14</xdr:col>
      <xdr:colOff>8659</xdr:colOff>
      <xdr:row>56</xdr:row>
      <xdr:rowOff>129887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16E92B2-66AD-4802-BA26-34DB6BBC419A}"/>
            </a:ext>
          </a:extLst>
        </xdr:cNvPr>
        <xdr:cNvSpPr txBox="1"/>
      </xdr:nvSpPr>
      <xdr:spPr>
        <a:xfrm>
          <a:off x="10399567" y="10174433"/>
          <a:ext cx="4961660" cy="6407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Salaire net : Salaire brut - Cotisations</a:t>
          </a:r>
          <a:r>
            <a:rPr lang="fr-FR" sz="1100" baseline="0"/>
            <a:t> salariales  : Payé le mois de la charge</a:t>
          </a:r>
        </a:p>
        <a:p>
          <a:r>
            <a:rPr lang="fr-FR" sz="1100" baseline="0"/>
            <a:t>Charges sociales : Cotisations salariales + Cotisations patronales  : Payées avec un mois de décallage</a:t>
          </a:r>
          <a:endParaRPr lang="fr-FR" sz="1100"/>
        </a:p>
      </xdr:txBody>
    </xdr:sp>
    <xdr:clientData/>
  </xdr:twoCellAnchor>
  <xdr:twoCellAnchor>
    <xdr:from>
      <xdr:col>7</xdr:col>
      <xdr:colOff>831272</xdr:colOff>
      <xdr:row>57</xdr:row>
      <xdr:rowOff>51955</xdr:rowOff>
    </xdr:from>
    <xdr:to>
      <xdr:col>14</xdr:col>
      <xdr:colOff>95250</xdr:colOff>
      <xdr:row>62</xdr:row>
      <xdr:rowOff>17318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01526AF-F718-41BC-8D7E-7525B9E9656B}"/>
            </a:ext>
          </a:extLst>
        </xdr:cNvPr>
        <xdr:cNvSpPr txBox="1"/>
      </xdr:nvSpPr>
      <xdr:spPr>
        <a:xfrm>
          <a:off x="10347613" y="10927773"/>
          <a:ext cx="5100205" cy="9178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1er acompte (15/03)   : 1/4 taux annuel  * Bénéfice fiscal de N-2</a:t>
          </a:r>
        </a:p>
        <a:p>
          <a:r>
            <a:rPr lang="fr-FR" sz="1100"/>
            <a:t>	1 200</a:t>
          </a:r>
          <a:r>
            <a:rPr lang="fr-FR" sz="1100" baseline="0"/>
            <a:t> 000 * 25%/4  =&gt;  75000€</a:t>
          </a:r>
        </a:p>
        <a:p>
          <a:r>
            <a:rPr lang="fr-FR" sz="1100" baseline="0"/>
            <a:t>2ème  acompte (15/06)  : 1/2 taux annuel * Bénéfice fiscal de N-1 - (1er acompte)</a:t>
          </a:r>
        </a:p>
        <a:p>
          <a:pPr algn="ctr"/>
          <a:r>
            <a:rPr lang="fr-FR" sz="1100" baseline="0"/>
            <a:t>1 500 000€ * 25%/2 - (75 000)  =&gt;135 000€</a:t>
          </a:r>
          <a:endParaRPr lang="fr-FR" sz="1100"/>
        </a:p>
      </xdr:txBody>
    </xdr:sp>
    <xdr:clientData/>
  </xdr:twoCellAnchor>
  <xdr:twoCellAnchor>
    <xdr:from>
      <xdr:col>7</xdr:col>
      <xdr:colOff>839933</xdr:colOff>
      <xdr:row>62</xdr:row>
      <xdr:rowOff>155863</xdr:rowOff>
    </xdr:from>
    <xdr:to>
      <xdr:col>13</xdr:col>
      <xdr:colOff>727366</xdr:colOff>
      <xdr:row>64</xdr:row>
      <xdr:rowOff>95250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E2392BD9-E078-4FD3-AB0A-D31CD39918E2}"/>
            </a:ext>
          </a:extLst>
        </xdr:cNvPr>
        <xdr:cNvSpPr txBox="1"/>
      </xdr:nvSpPr>
      <xdr:spPr>
        <a:xfrm>
          <a:off x="10356274" y="11984181"/>
          <a:ext cx="4961660" cy="329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Dividende :  1 500 000  *1/3 =&gt;   500 000€</a:t>
          </a:r>
        </a:p>
      </xdr:txBody>
    </xdr:sp>
    <xdr:clientData/>
  </xdr:twoCellAnchor>
  <xdr:twoCellAnchor>
    <xdr:from>
      <xdr:col>8</xdr:col>
      <xdr:colOff>0</xdr:colOff>
      <xdr:row>68</xdr:row>
      <xdr:rowOff>0</xdr:rowOff>
    </xdr:from>
    <xdr:to>
      <xdr:col>14</xdr:col>
      <xdr:colOff>138547</xdr:colOff>
      <xdr:row>71</xdr:row>
      <xdr:rowOff>129886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BA3E4BEA-F357-483E-9E6F-3D9DB1EBC99C}"/>
            </a:ext>
          </a:extLst>
        </xdr:cNvPr>
        <xdr:cNvSpPr txBox="1"/>
      </xdr:nvSpPr>
      <xdr:spPr>
        <a:xfrm>
          <a:off x="10529455" y="12979977"/>
          <a:ext cx="4961660" cy="779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Remboursement d'un emprunt : (partie du capital) + (intérêts)</a:t>
          </a:r>
        </a:p>
        <a:p>
          <a:r>
            <a:rPr lang="fr-FR" sz="1100"/>
            <a:t>Chaque trimestre</a:t>
          </a:r>
          <a:r>
            <a:rPr lang="fr-FR" sz="1100" baseline="0"/>
            <a:t> : 6000000/8  =&gt;  750 000€ Rbt du capital</a:t>
          </a:r>
        </a:p>
        <a:p>
          <a:r>
            <a:rPr lang="fr-FR" sz="1100" baseline="0"/>
            <a:t>Mars : 750000 + Intérets (6000000*3%/4) = 750000+45000 = 795000€</a:t>
          </a:r>
        </a:p>
        <a:p>
          <a:r>
            <a:rPr lang="fr-FR" sz="1100" baseline="0"/>
            <a:t>Juin : 750000 + Intérêts (5250000 * 3%/4)  = 750000 + 39375 = 789375€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3:M101"/>
  <sheetViews>
    <sheetView showGridLines="0" tabSelected="1" topLeftCell="E43" zoomScale="148" zoomScaleNormal="148" workbookViewId="0">
      <selection activeCell="G59" sqref="G59"/>
    </sheetView>
  </sheetViews>
  <sheetFormatPr baseColWidth="10" defaultRowHeight="15" x14ac:dyDescent="0.25"/>
  <cols>
    <col min="1" max="1" width="30" customWidth="1"/>
    <col min="2" max="3" width="19.85546875" bestFit="1" customWidth="1"/>
    <col min="4" max="4" width="24.85546875" bestFit="1" customWidth="1"/>
    <col min="5" max="6" width="19.85546875" bestFit="1" customWidth="1"/>
    <col min="7" max="7" width="21.7109375" bestFit="1" customWidth="1"/>
    <col min="8" max="8" width="16.42578125" bestFit="1" customWidth="1"/>
    <col min="9" max="9" width="15.140625" bestFit="1" customWidth="1"/>
  </cols>
  <sheetData>
    <row r="3" spans="1:12" x14ac:dyDescent="0.25">
      <c r="A3" s="65" t="s">
        <v>0</v>
      </c>
      <c r="B3" s="65"/>
      <c r="D3" t="s">
        <v>3</v>
      </c>
    </row>
    <row r="4" spans="1:12" x14ac:dyDescent="0.25">
      <c r="A4" t="s">
        <v>1</v>
      </c>
      <c r="B4" s="1">
        <f>5980000*1.2</f>
        <v>7176000</v>
      </c>
      <c r="D4" t="s">
        <v>4</v>
      </c>
      <c r="E4">
        <v>6000000</v>
      </c>
      <c r="H4" s="10"/>
      <c r="I4" s="10"/>
      <c r="J4" s="10"/>
      <c r="K4" s="10" t="s">
        <v>13</v>
      </c>
      <c r="L4" s="10">
        <v>320</v>
      </c>
    </row>
    <row r="5" spans="1:12" x14ac:dyDescent="0.25">
      <c r="A5" t="s">
        <v>2</v>
      </c>
      <c r="B5" s="1">
        <v>19890</v>
      </c>
      <c r="D5" t="s">
        <v>5</v>
      </c>
      <c r="E5">
        <f>4230000*1.2</f>
        <v>5076000</v>
      </c>
      <c r="H5" s="11">
        <v>3000000</v>
      </c>
      <c r="I5" s="10"/>
      <c r="J5" s="10"/>
      <c r="K5" s="10"/>
      <c r="L5" s="10"/>
    </row>
    <row r="6" spans="1:12" ht="1.9" customHeight="1" x14ac:dyDescent="0.25">
      <c r="B6" s="1"/>
      <c r="D6" t="s">
        <v>6</v>
      </c>
      <c r="E6">
        <f>2900000*0.67</f>
        <v>1943000</v>
      </c>
      <c r="H6" s="10">
        <f>H5*0.22</f>
        <v>660000</v>
      </c>
      <c r="I6" s="12">
        <v>0.22</v>
      </c>
      <c r="J6" s="10"/>
      <c r="K6" s="10"/>
      <c r="L6" s="10"/>
    </row>
    <row r="7" spans="1:12" x14ac:dyDescent="0.25">
      <c r="D7" t="s">
        <v>7</v>
      </c>
      <c r="E7">
        <v>987900</v>
      </c>
      <c r="H7" s="10">
        <f>H5*0.45</f>
        <v>1350000</v>
      </c>
      <c r="I7" s="12">
        <v>0.45</v>
      </c>
      <c r="J7" s="10"/>
      <c r="K7" s="10" t="s">
        <v>15</v>
      </c>
      <c r="L7" s="10">
        <v>140</v>
      </c>
    </row>
    <row r="8" spans="1:12" x14ac:dyDescent="0.25">
      <c r="H8" s="10"/>
      <c r="I8" s="10"/>
      <c r="J8" s="10"/>
      <c r="K8" s="10"/>
      <c r="L8" s="10"/>
    </row>
    <row r="9" spans="1:12" x14ac:dyDescent="0.25">
      <c r="H9" s="10"/>
      <c r="I9" s="10"/>
      <c r="J9" s="10"/>
      <c r="K9" s="10"/>
      <c r="L9" s="10"/>
    </row>
    <row r="10" spans="1:12" x14ac:dyDescent="0.25">
      <c r="A10" s="64" t="s">
        <v>57</v>
      </c>
      <c r="B10" s="64"/>
      <c r="C10" s="64"/>
      <c r="D10" s="64"/>
      <c r="E10" s="64"/>
      <c r="F10" s="64"/>
      <c r="G10" s="64"/>
      <c r="H10" s="10">
        <f>3000000*1.3</f>
        <v>3900000</v>
      </c>
      <c r="I10" s="10" t="s">
        <v>28</v>
      </c>
      <c r="J10" s="10"/>
      <c r="K10" s="10"/>
      <c r="L10" s="10"/>
    </row>
    <row r="11" spans="1:12" x14ac:dyDescent="0.25">
      <c r="A11" s="2"/>
      <c r="B11" s="3" t="s">
        <v>8</v>
      </c>
      <c r="C11" s="3" t="s">
        <v>9</v>
      </c>
      <c r="D11" s="3" t="s">
        <v>10</v>
      </c>
      <c r="E11" s="3" t="s">
        <v>11</v>
      </c>
      <c r="F11" s="3" t="s">
        <v>10</v>
      </c>
      <c r="G11" s="3" t="s">
        <v>8</v>
      </c>
      <c r="H11" s="10">
        <f>H10*0.22</f>
        <v>858000</v>
      </c>
      <c r="I11" s="12">
        <v>0.22</v>
      </c>
      <c r="J11" s="10"/>
      <c r="K11" s="10"/>
      <c r="L11" s="10"/>
    </row>
    <row r="12" spans="1:12" x14ac:dyDescent="0.25">
      <c r="A12" s="2" t="s">
        <v>12</v>
      </c>
      <c r="B12" s="2">
        <v>50000</v>
      </c>
      <c r="C12" s="2">
        <v>52000</v>
      </c>
      <c r="D12" s="2">
        <v>56000</v>
      </c>
      <c r="E12" s="2">
        <v>48000</v>
      </c>
      <c r="F12" s="2">
        <v>46000</v>
      </c>
      <c r="G12" s="2">
        <v>51000</v>
      </c>
      <c r="H12" s="10">
        <f>H10*0.45</f>
        <v>1755000</v>
      </c>
      <c r="I12" s="12">
        <v>0.45</v>
      </c>
      <c r="J12" s="10"/>
      <c r="K12" s="10"/>
      <c r="L12" s="10"/>
    </row>
    <row r="13" spans="1:12" x14ac:dyDescent="0.25">
      <c r="A13" s="2" t="s">
        <v>14</v>
      </c>
      <c r="B13" s="15">
        <f t="shared" ref="B13:G13" si="0">B12*$L$4</f>
        <v>16000000</v>
      </c>
      <c r="C13" s="15">
        <f t="shared" si="0"/>
        <v>16640000</v>
      </c>
      <c r="D13" s="15">
        <f t="shared" si="0"/>
        <v>17920000</v>
      </c>
      <c r="E13" s="15">
        <f t="shared" si="0"/>
        <v>15360000</v>
      </c>
      <c r="F13" s="15">
        <f t="shared" si="0"/>
        <v>14720000</v>
      </c>
      <c r="G13" s="15">
        <f t="shared" si="0"/>
        <v>16320000</v>
      </c>
      <c r="H13" s="10"/>
      <c r="I13" s="10"/>
      <c r="J13" s="10"/>
      <c r="K13" s="10"/>
      <c r="L13" s="10"/>
    </row>
    <row r="14" spans="1:12" x14ac:dyDescent="0.25">
      <c r="A14" s="2" t="s">
        <v>53</v>
      </c>
      <c r="B14" s="53">
        <f>B13*1.2</f>
        <v>19200000</v>
      </c>
      <c r="C14" s="6">
        <f t="shared" ref="C14:G14" si="1">C13*1.2</f>
        <v>19968000</v>
      </c>
      <c r="D14" s="6">
        <f t="shared" si="1"/>
        <v>21504000</v>
      </c>
      <c r="E14" s="6">
        <f t="shared" si="1"/>
        <v>18432000</v>
      </c>
      <c r="F14" s="6">
        <f t="shared" si="1"/>
        <v>17664000</v>
      </c>
      <c r="G14" s="6">
        <f t="shared" si="1"/>
        <v>19584000</v>
      </c>
      <c r="H14" s="10"/>
      <c r="I14" s="10"/>
      <c r="J14" s="10"/>
      <c r="K14" s="10"/>
      <c r="L14" s="10"/>
    </row>
    <row r="15" spans="1:12" ht="21.75" customHeight="1" x14ac:dyDescent="0.25"/>
    <row r="16" spans="1:12" x14ac:dyDescent="0.25">
      <c r="A16" s="64" t="s">
        <v>56</v>
      </c>
      <c r="B16" s="64"/>
      <c r="C16" s="64"/>
      <c r="D16" s="64"/>
      <c r="E16" s="64"/>
      <c r="F16" s="64"/>
      <c r="G16" s="64"/>
    </row>
    <row r="17" spans="1:7" x14ac:dyDescent="0.25">
      <c r="A17" s="2"/>
      <c r="B17" s="3" t="s">
        <v>8</v>
      </c>
      <c r="C17" s="3" t="s">
        <v>9</v>
      </c>
      <c r="D17" s="3" t="s">
        <v>10</v>
      </c>
      <c r="E17" s="3" t="s">
        <v>11</v>
      </c>
      <c r="F17" s="3" t="s">
        <v>10</v>
      </c>
      <c r="G17" s="3" t="s">
        <v>8</v>
      </c>
    </row>
    <row r="18" spans="1:7" x14ac:dyDescent="0.25">
      <c r="A18" s="2" t="s">
        <v>66</v>
      </c>
      <c r="B18" s="15">
        <f t="shared" ref="B18:G18" si="2">$L$7*B12</f>
        <v>7000000</v>
      </c>
      <c r="C18" s="15">
        <f t="shared" si="2"/>
        <v>7280000</v>
      </c>
      <c r="D18" s="15">
        <f t="shared" si="2"/>
        <v>7840000</v>
      </c>
      <c r="E18" s="15">
        <f t="shared" si="2"/>
        <v>6720000</v>
      </c>
      <c r="F18" s="15">
        <f t="shared" si="2"/>
        <v>6440000</v>
      </c>
      <c r="G18" s="15">
        <f t="shared" si="2"/>
        <v>7140000</v>
      </c>
    </row>
    <row r="19" spans="1:7" x14ac:dyDescent="0.25">
      <c r="A19" s="2" t="s">
        <v>17</v>
      </c>
      <c r="B19" s="15">
        <v>380000</v>
      </c>
      <c r="C19" s="15">
        <f>B19</f>
        <v>380000</v>
      </c>
      <c r="D19" s="15">
        <f t="shared" ref="D19:G19" si="3">C19</f>
        <v>380000</v>
      </c>
      <c r="E19" s="15">
        <f t="shared" si="3"/>
        <v>380000</v>
      </c>
      <c r="F19" s="15">
        <f>D19</f>
        <v>380000</v>
      </c>
      <c r="G19" s="15">
        <f t="shared" si="3"/>
        <v>380000</v>
      </c>
    </row>
    <row r="20" spans="1:7" x14ac:dyDescent="0.25">
      <c r="A20" s="15" t="s">
        <v>18</v>
      </c>
      <c r="B20" s="45">
        <v>460000</v>
      </c>
      <c r="C20" s="45">
        <f>B20*1.01</f>
        <v>464600</v>
      </c>
      <c r="D20" s="45">
        <f t="shared" ref="D20:G20" si="4">C20*1.01</f>
        <v>469246</v>
      </c>
      <c r="E20" s="45">
        <f t="shared" si="4"/>
        <v>473938.46</v>
      </c>
      <c r="F20" s="45">
        <f t="shared" si="4"/>
        <v>478677.84460000001</v>
      </c>
      <c r="G20" s="33">
        <f t="shared" si="4"/>
        <v>483464.62304600002</v>
      </c>
    </row>
    <row r="21" spans="1:7" x14ac:dyDescent="0.25">
      <c r="A21" s="15" t="s">
        <v>19</v>
      </c>
      <c r="B21" s="45">
        <f>B13*0.08</f>
        <v>1280000</v>
      </c>
      <c r="C21" s="45">
        <f t="shared" ref="B21:G21" si="5">C13*0.08</f>
        <v>1331200</v>
      </c>
      <c r="D21" s="45">
        <f t="shared" si="5"/>
        <v>1433600</v>
      </c>
      <c r="E21" s="45">
        <f t="shared" si="5"/>
        <v>1228800</v>
      </c>
      <c r="F21" s="45">
        <f t="shared" si="5"/>
        <v>1177600</v>
      </c>
      <c r="G21" s="45">
        <f t="shared" si="5"/>
        <v>1305600</v>
      </c>
    </row>
    <row r="22" spans="1:7" x14ac:dyDescent="0.25">
      <c r="A22" s="2" t="s">
        <v>21</v>
      </c>
      <c r="B22" s="18">
        <f t="shared" ref="B22:G22" si="6">B13*1.2*0.05/100</f>
        <v>9600</v>
      </c>
      <c r="C22" s="15">
        <f t="shared" si="6"/>
        <v>9984</v>
      </c>
      <c r="D22" s="15">
        <f t="shared" si="6"/>
        <v>10752</v>
      </c>
      <c r="E22" s="15">
        <f t="shared" si="6"/>
        <v>9216</v>
      </c>
      <c r="F22" s="15">
        <f t="shared" si="6"/>
        <v>8832</v>
      </c>
      <c r="G22" s="15">
        <f t="shared" si="6"/>
        <v>9792</v>
      </c>
    </row>
    <row r="23" spans="1:7" x14ac:dyDescent="0.25">
      <c r="A23" s="7" t="s">
        <v>22</v>
      </c>
      <c r="B23" s="8">
        <f>SUM(B18:B22)</f>
        <v>9129600</v>
      </c>
      <c r="C23" s="8">
        <f t="shared" ref="C23:G23" si="7">SUM(C18:C22)</f>
        <v>9465784</v>
      </c>
      <c r="D23" s="8">
        <f t="shared" si="7"/>
        <v>10133598</v>
      </c>
      <c r="E23" s="8">
        <f t="shared" si="7"/>
        <v>8811954.4600000009</v>
      </c>
      <c r="F23" s="8">
        <f t="shared" si="7"/>
        <v>8485109.8445999995</v>
      </c>
      <c r="G23" s="8">
        <f t="shared" si="7"/>
        <v>9318856.6230459996</v>
      </c>
    </row>
    <row r="25" spans="1:7" x14ac:dyDescent="0.25">
      <c r="A25" s="64" t="s">
        <v>24</v>
      </c>
      <c r="B25" s="64"/>
      <c r="C25" s="64"/>
      <c r="D25" s="64"/>
      <c r="E25" s="64"/>
      <c r="F25" s="64"/>
      <c r="G25" s="64"/>
    </row>
    <row r="26" spans="1:7" x14ac:dyDescent="0.25">
      <c r="A26" s="2"/>
      <c r="B26" s="3" t="s">
        <v>8</v>
      </c>
      <c r="C26" s="3" t="s">
        <v>9</v>
      </c>
      <c r="D26" s="3" t="s">
        <v>10</v>
      </c>
      <c r="E26" s="3" t="s">
        <v>11</v>
      </c>
      <c r="F26" s="3" t="s">
        <v>10</v>
      </c>
      <c r="G26" s="3" t="s">
        <v>8</v>
      </c>
    </row>
    <row r="27" spans="1:7" x14ac:dyDescent="0.25">
      <c r="A27" s="2" t="s">
        <v>40</v>
      </c>
      <c r="B27" s="15">
        <f>H5</f>
        <v>3000000</v>
      </c>
      <c r="C27" s="15">
        <f>B27</f>
        <v>3000000</v>
      </c>
      <c r="D27" s="15">
        <f t="shared" ref="D27:G27" si="8">C27</f>
        <v>3000000</v>
      </c>
      <c r="E27" s="17">
        <f>H10</f>
        <v>3900000</v>
      </c>
      <c r="F27" s="15">
        <f>D27</f>
        <v>3000000</v>
      </c>
      <c r="G27" s="15">
        <f t="shared" si="8"/>
        <v>3000000</v>
      </c>
    </row>
    <row r="28" spans="1:7" x14ac:dyDescent="0.25">
      <c r="A28" s="4" t="s">
        <v>25</v>
      </c>
      <c r="B28" s="15">
        <f>H6</f>
        <v>660000</v>
      </c>
      <c r="C28" s="15">
        <f>B28</f>
        <v>660000</v>
      </c>
      <c r="D28" s="15">
        <f t="shared" ref="D28:G28" si="9">C28</f>
        <v>660000</v>
      </c>
      <c r="E28" s="15">
        <f>H11</f>
        <v>858000</v>
      </c>
      <c r="F28" s="15">
        <f t="shared" ref="F28:F29" si="10">D28</f>
        <v>660000</v>
      </c>
      <c r="G28" s="15">
        <f t="shared" si="9"/>
        <v>660000</v>
      </c>
    </row>
    <row r="29" spans="1:7" x14ac:dyDescent="0.25">
      <c r="A29" s="4" t="s">
        <v>26</v>
      </c>
      <c r="B29" s="15">
        <f>H7</f>
        <v>1350000</v>
      </c>
      <c r="C29" s="15">
        <f>B29</f>
        <v>1350000</v>
      </c>
      <c r="D29" s="15">
        <f t="shared" ref="D29:G29" si="11">C29</f>
        <v>1350000</v>
      </c>
      <c r="E29" s="15">
        <f>H12</f>
        <v>1755000</v>
      </c>
      <c r="F29" s="15">
        <f t="shared" si="10"/>
        <v>1350000</v>
      </c>
      <c r="G29" s="15">
        <f t="shared" si="11"/>
        <v>1350000</v>
      </c>
    </row>
    <row r="30" spans="1:7" x14ac:dyDescent="0.25">
      <c r="A30" s="7" t="s">
        <v>41</v>
      </c>
      <c r="B30" s="8">
        <f>B27+B29</f>
        <v>4350000</v>
      </c>
      <c r="C30" s="8">
        <f t="shared" ref="C30:G30" si="12">C27+C29</f>
        <v>4350000</v>
      </c>
      <c r="D30" s="8">
        <f t="shared" si="12"/>
        <v>4350000</v>
      </c>
      <c r="E30" s="8">
        <f t="shared" si="12"/>
        <v>5655000</v>
      </c>
      <c r="F30" s="8">
        <f t="shared" si="12"/>
        <v>4350000</v>
      </c>
      <c r="G30" s="8">
        <f t="shared" si="12"/>
        <v>4350000</v>
      </c>
    </row>
    <row r="32" spans="1:7" x14ac:dyDescent="0.25">
      <c r="A32" s="64" t="s">
        <v>55</v>
      </c>
      <c r="B32" s="64"/>
      <c r="C32" s="64"/>
      <c r="D32" s="64"/>
      <c r="E32" s="64"/>
      <c r="F32" s="64"/>
      <c r="G32" s="64"/>
    </row>
    <row r="33" spans="1:13" x14ac:dyDescent="0.25">
      <c r="A33" s="2"/>
      <c r="B33" s="3" t="s">
        <v>8</v>
      </c>
      <c r="C33" s="3" t="s">
        <v>9</v>
      </c>
      <c r="D33" s="3" t="s">
        <v>10</v>
      </c>
      <c r="E33" s="3" t="s">
        <v>11</v>
      </c>
      <c r="F33" s="3" t="s">
        <v>10</v>
      </c>
      <c r="G33" s="3" t="s">
        <v>8</v>
      </c>
    </row>
    <row r="34" spans="1:13" x14ac:dyDescent="0.25">
      <c r="A34" s="2" t="s">
        <v>16</v>
      </c>
      <c r="B34" s="15">
        <f t="shared" ref="B34:G34" si="13">B13*0.2</f>
        <v>3200000</v>
      </c>
      <c r="C34" s="15">
        <f t="shared" si="13"/>
        <v>3328000</v>
      </c>
      <c r="D34" s="15">
        <f t="shared" si="13"/>
        <v>3584000</v>
      </c>
      <c r="E34" s="15">
        <f t="shared" si="13"/>
        <v>3072000</v>
      </c>
      <c r="F34" s="15">
        <f t="shared" si="13"/>
        <v>2944000</v>
      </c>
      <c r="G34" s="15">
        <f t="shared" si="13"/>
        <v>3264000</v>
      </c>
    </row>
    <row r="35" spans="1:13" x14ac:dyDescent="0.25">
      <c r="A35" s="2" t="s">
        <v>23</v>
      </c>
      <c r="B35" s="6">
        <f>(B18+B19+B20+B22)*0.2+(B21*0.1)</f>
        <v>1697920</v>
      </c>
      <c r="C35" s="6">
        <f>(C18+C19+C20+C22)*0.2+(C21*0.1)</f>
        <v>1760036.8</v>
      </c>
      <c r="D35" s="6">
        <f t="shared" ref="D35:G35" si="14">(D18+D19+D20+D22)*0.2+(D21*0.1)</f>
        <v>1883359.6</v>
      </c>
      <c r="E35" s="6">
        <f t="shared" si="14"/>
        <v>1639510.892</v>
      </c>
      <c r="F35" s="6">
        <f t="shared" si="14"/>
        <v>1579261.9689200001</v>
      </c>
      <c r="G35" s="6">
        <f t="shared" si="14"/>
        <v>1733211.3246092</v>
      </c>
    </row>
    <row r="36" spans="1:13" x14ac:dyDescent="0.25">
      <c r="A36" s="2" t="s">
        <v>47</v>
      </c>
      <c r="B36" s="46">
        <f>B34-B35</f>
        <v>1502080</v>
      </c>
      <c r="C36" s="6">
        <f t="shared" ref="C36:G36" si="15">C34-C35</f>
        <v>1567963.2</v>
      </c>
      <c r="D36" s="6">
        <f t="shared" si="15"/>
        <v>1700640.4</v>
      </c>
      <c r="E36" s="6">
        <f t="shared" si="15"/>
        <v>1432489.108</v>
      </c>
      <c r="F36" s="6">
        <f t="shared" si="15"/>
        <v>1364738.0310799999</v>
      </c>
      <c r="G36" s="6">
        <f t="shared" si="15"/>
        <v>1530788.6753908</v>
      </c>
    </row>
    <row r="38" spans="1:13" x14ac:dyDescent="0.25">
      <c r="A38" s="63" t="s">
        <v>29</v>
      </c>
      <c r="B38" s="63"/>
      <c r="C38" s="63"/>
      <c r="D38" s="63"/>
      <c r="E38" s="63"/>
      <c r="F38" s="63"/>
      <c r="G38" s="63"/>
    </row>
    <row r="39" spans="1:13" x14ac:dyDescent="0.25">
      <c r="A39" s="2"/>
      <c r="B39" s="3" t="s">
        <v>8</v>
      </c>
      <c r="C39" s="3" t="s">
        <v>9</v>
      </c>
      <c r="D39" s="3" t="s">
        <v>10</v>
      </c>
      <c r="E39" s="3" t="s">
        <v>11</v>
      </c>
      <c r="F39" s="3" t="s">
        <v>10</v>
      </c>
      <c r="G39" s="3" t="s">
        <v>8</v>
      </c>
    </row>
    <row r="40" spans="1:13" x14ac:dyDescent="0.25">
      <c r="A40" s="26" t="s">
        <v>30</v>
      </c>
      <c r="B40" s="27">
        <f>B4*0.6</f>
        <v>4305600</v>
      </c>
      <c r="C40" s="27">
        <f>B4*0.4</f>
        <v>2870400</v>
      </c>
      <c r="D40" s="4"/>
      <c r="E40" s="4"/>
      <c r="F40" s="4"/>
      <c r="G40" s="4"/>
    </row>
    <row r="41" spans="1:13" x14ac:dyDescent="0.25">
      <c r="A41" s="4" t="s">
        <v>31</v>
      </c>
      <c r="B41" s="13">
        <f t="shared" ref="B41:G41" si="16">B13*1.2*0.15</f>
        <v>2880000</v>
      </c>
      <c r="C41" s="18">
        <f t="shared" si="16"/>
        <v>2995200</v>
      </c>
      <c r="D41" s="17">
        <f t="shared" si="16"/>
        <v>3225600</v>
      </c>
      <c r="E41" s="24">
        <f t="shared" si="16"/>
        <v>2764800</v>
      </c>
      <c r="F41" s="25">
        <f t="shared" si="16"/>
        <v>2649600</v>
      </c>
      <c r="G41" s="4">
        <f t="shared" si="16"/>
        <v>2937600</v>
      </c>
    </row>
    <row r="42" spans="1:13" x14ac:dyDescent="0.25">
      <c r="A42" s="14" t="s">
        <v>32</v>
      </c>
      <c r="B42" s="42"/>
      <c r="C42" s="32">
        <f t="shared" ref="C42:H42" si="17">B13*1.2*0.5</f>
        <v>9600000</v>
      </c>
      <c r="D42" s="43">
        <f t="shared" si="17"/>
        <v>9984000</v>
      </c>
      <c r="E42" s="34">
        <f t="shared" si="17"/>
        <v>10752000</v>
      </c>
      <c r="F42" s="16">
        <f t="shared" si="17"/>
        <v>9216000</v>
      </c>
      <c r="G42" s="44">
        <f t="shared" si="17"/>
        <v>8832000</v>
      </c>
      <c r="H42" s="4">
        <f t="shared" si="17"/>
        <v>9792000</v>
      </c>
    </row>
    <row r="43" spans="1:13" x14ac:dyDescent="0.25">
      <c r="A43" s="2" t="s">
        <v>33</v>
      </c>
      <c r="B43" s="4"/>
      <c r="C43" s="4"/>
      <c r="D43" s="13">
        <f t="shared" ref="D43:I43" si="18">B13*1.2*0.35</f>
        <v>6720000</v>
      </c>
      <c r="E43" s="18">
        <f t="shared" si="18"/>
        <v>6988800</v>
      </c>
      <c r="F43" s="17">
        <f t="shared" si="18"/>
        <v>7526399.9999999991</v>
      </c>
      <c r="G43" s="24">
        <f t="shared" si="18"/>
        <v>6451200</v>
      </c>
      <c r="H43" s="25">
        <f t="shared" si="18"/>
        <v>6182400</v>
      </c>
      <c r="I43" s="4">
        <f t="shared" si="18"/>
        <v>6854400</v>
      </c>
    </row>
    <row r="44" spans="1:13" x14ac:dyDescent="0.25">
      <c r="A44" s="7" t="s">
        <v>22</v>
      </c>
      <c r="B44" s="31">
        <f>SUM(B40:B43)</f>
        <v>7185600</v>
      </c>
      <c r="C44" s="8">
        <f t="shared" ref="C44:G44" si="19">SUM(C40:C43)</f>
        <v>15465600</v>
      </c>
      <c r="D44" s="8">
        <f t="shared" si="19"/>
        <v>19929600</v>
      </c>
      <c r="E44" s="8">
        <f t="shared" si="19"/>
        <v>20505600</v>
      </c>
      <c r="F44" s="8">
        <f t="shared" si="19"/>
        <v>19392000</v>
      </c>
      <c r="G44" s="8">
        <f t="shared" si="19"/>
        <v>18220800</v>
      </c>
    </row>
    <row r="46" spans="1:13" x14ac:dyDescent="0.25">
      <c r="J46" s="22"/>
      <c r="K46" s="22"/>
      <c r="L46" s="22"/>
      <c r="M46" s="22"/>
    </row>
    <row r="47" spans="1:13" x14ac:dyDescent="0.25">
      <c r="A47" s="63" t="s">
        <v>34</v>
      </c>
      <c r="B47" s="63"/>
      <c r="C47" s="63"/>
      <c r="D47" s="63"/>
      <c r="E47" s="63"/>
      <c r="F47" s="63"/>
      <c r="G47" s="63"/>
      <c r="J47" s="10">
        <f>E4</f>
        <v>6000000</v>
      </c>
      <c r="K47" s="10">
        <f>J47/2/4</f>
        <v>750000</v>
      </c>
      <c r="L47" s="22"/>
      <c r="M47" s="22"/>
    </row>
    <row r="48" spans="1:13" x14ac:dyDescent="0.25">
      <c r="A48" s="2"/>
      <c r="B48" s="3" t="s">
        <v>8</v>
      </c>
      <c r="C48" s="3" t="s">
        <v>9</v>
      </c>
      <c r="D48" s="3" t="s">
        <v>10</v>
      </c>
      <c r="E48" s="3" t="s">
        <v>11</v>
      </c>
      <c r="F48" s="3" t="s">
        <v>10</v>
      </c>
      <c r="G48" s="3" t="s">
        <v>8</v>
      </c>
      <c r="J48" s="10"/>
      <c r="K48" s="10">
        <f>J47*0.03/4</f>
        <v>45000</v>
      </c>
      <c r="L48" s="22"/>
      <c r="M48" s="22"/>
    </row>
    <row r="49" spans="1:13" x14ac:dyDescent="0.25">
      <c r="A49" s="54" t="s">
        <v>35</v>
      </c>
      <c r="B49" s="55">
        <f>E5*0.75</f>
        <v>3807000</v>
      </c>
      <c r="C49" s="55">
        <f>E5*0.25</f>
        <v>1269000</v>
      </c>
      <c r="D49" s="56"/>
      <c r="E49" s="56"/>
      <c r="F49" s="56"/>
      <c r="G49" s="56"/>
      <c r="J49" s="22"/>
      <c r="K49" s="22"/>
      <c r="L49" s="22"/>
      <c r="M49" s="22"/>
    </row>
    <row r="50" spans="1:13" x14ac:dyDescent="0.25">
      <c r="A50" s="57" t="s">
        <v>36</v>
      </c>
      <c r="B50" s="55">
        <f>E6</f>
        <v>1943000</v>
      </c>
      <c r="C50" s="55"/>
      <c r="D50" s="56"/>
      <c r="E50" s="56"/>
      <c r="F50" s="56"/>
      <c r="G50" s="56"/>
      <c r="J50" s="22"/>
      <c r="K50" s="22"/>
      <c r="L50" s="22"/>
      <c r="M50" s="22"/>
    </row>
    <row r="51" spans="1:13" x14ac:dyDescent="0.25">
      <c r="A51" s="4" t="s">
        <v>37</v>
      </c>
      <c r="B51" s="58">
        <f>7000000*1.2*0.25</f>
        <v>2100000</v>
      </c>
      <c r="C51" s="5">
        <f>C18*1.2*0.25</f>
        <v>2184000</v>
      </c>
      <c r="D51" s="5">
        <f t="shared" ref="D51:G51" si="20">D18*1.2*0.25</f>
        <v>2352000</v>
      </c>
      <c r="E51" s="5">
        <f t="shared" si="20"/>
        <v>2016000</v>
      </c>
      <c r="F51" s="5">
        <f t="shared" si="20"/>
        <v>1932000</v>
      </c>
      <c r="G51" s="5">
        <f t="shared" si="20"/>
        <v>2142000</v>
      </c>
      <c r="J51" s="22"/>
      <c r="K51" s="22"/>
      <c r="L51" s="22"/>
      <c r="M51" s="22"/>
    </row>
    <row r="52" spans="1:13" x14ac:dyDescent="0.25">
      <c r="A52" s="2" t="s">
        <v>38</v>
      </c>
      <c r="B52" s="15"/>
      <c r="C52" s="56">
        <f>B18*1.2*0.75</f>
        <v>6300000</v>
      </c>
      <c r="D52" s="15">
        <f t="shared" ref="D52:G52" si="21">C18*1.2*0.75</f>
        <v>6552000</v>
      </c>
      <c r="E52" s="15">
        <f t="shared" si="21"/>
        <v>7056000</v>
      </c>
      <c r="F52" s="15">
        <f t="shared" si="21"/>
        <v>6048000</v>
      </c>
      <c r="G52" s="15">
        <f t="shared" si="21"/>
        <v>5796000</v>
      </c>
      <c r="H52" s="4"/>
      <c r="J52" s="22"/>
      <c r="K52" s="22"/>
      <c r="L52" s="22"/>
      <c r="M52" s="22"/>
    </row>
    <row r="53" spans="1:13" x14ac:dyDescent="0.25">
      <c r="A53" s="2" t="s">
        <v>39</v>
      </c>
      <c r="B53" s="15"/>
      <c r="C53" s="15">
        <f t="shared" ref="C53:G53" si="22">(B20*1.2+B21*1.1)</f>
        <v>1960000</v>
      </c>
      <c r="D53" s="15">
        <f t="shared" si="22"/>
        <v>2021840.0000000002</v>
      </c>
      <c r="E53" s="15">
        <f t="shared" si="22"/>
        <v>2140055.2000000002</v>
      </c>
      <c r="F53" s="15">
        <f t="shared" si="22"/>
        <v>1920406.152</v>
      </c>
      <c r="G53" s="15">
        <f t="shared" si="22"/>
        <v>1869773.4135199999</v>
      </c>
      <c r="J53" s="22"/>
      <c r="K53" s="22"/>
      <c r="L53" s="22"/>
      <c r="M53" s="22"/>
    </row>
    <row r="54" spans="1:13" x14ac:dyDescent="0.25">
      <c r="A54" s="2" t="s">
        <v>58</v>
      </c>
      <c r="B54" s="15">
        <f t="shared" ref="B54:G54" si="23">B27-B28</f>
        <v>2340000</v>
      </c>
      <c r="C54" s="15">
        <f t="shared" si="23"/>
        <v>2340000</v>
      </c>
      <c r="D54" s="15">
        <f t="shared" si="23"/>
        <v>2340000</v>
      </c>
      <c r="E54" s="15">
        <f t="shared" si="23"/>
        <v>3042000</v>
      </c>
      <c r="F54" s="15">
        <f t="shared" si="23"/>
        <v>2340000</v>
      </c>
      <c r="G54" s="15">
        <f t="shared" si="23"/>
        <v>2340000</v>
      </c>
      <c r="J54" s="22"/>
      <c r="K54" s="22"/>
      <c r="L54" s="22"/>
      <c r="M54" s="22"/>
    </row>
    <row r="55" spans="1:13" x14ac:dyDescent="0.25">
      <c r="A55" s="2" t="s">
        <v>59</v>
      </c>
      <c r="B55" s="15"/>
      <c r="C55" s="15">
        <f>B28+B29</f>
        <v>2010000</v>
      </c>
      <c r="D55" s="15">
        <f>C28+C29</f>
        <v>2010000</v>
      </c>
      <c r="E55" s="15">
        <f>D28+D29</f>
        <v>2010000</v>
      </c>
      <c r="F55" s="15">
        <f>E28+E29</f>
        <v>2613000</v>
      </c>
      <c r="G55" s="15">
        <f>F28+F29</f>
        <v>2010000</v>
      </c>
      <c r="J55" s="22"/>
      <c r="K55" s="22"/>
      <c r="L55" s="22"/>
      <c r="M55" s="22"/>
    </row>
    <row r="56" spans="1:13" x14ac:dyDescent="0.25">
      <c r="A56" s="2" t="s">
        <v>20</v>
      </c>
      <c r="B56" s="15">
        <f t="shared" ref="B56:G56" si="24">B22*1.2</f>
        <v>11520</v>
      </c>
      <c r="C56" s="15">
        <f t="shared" si="24"/>
        <v>11980.8</v>
      </c>
      <c r="D56" s="15">
        <f t="shared" si="24"/>
        <v>12902.4</v>
      </c>
      <c r="E56" s="15">
        <f t="shared" si="24"/>
        <v>11059.199999999999</v>
      </c>
      <c r="F56" s="15">
        <f t="shared" si="24"/>
        <v>10598.4</v>
      </c>
      <c r="G56" s="15">
        <f t="shared" si="24"/>
        <v>11750.4</v>
      </c>
    </row>
    <row r="57" spans="1:13" x14ac:dyDescent="0.25">
      <c r="A57" s="54" t="s">
        <v>42</v>
      </c>
      <c r="B57" s="56"/>
      <c r="C57" s="56"/>
      <c r="D57" s="56">
        <f>1200000*0.25/4</f>
        <v>75000</v>
      </c>
      <c r="E57" s="56"/>
      <c r="F57" s="56"/>
      <c r="G57" s="56">
        <f>1500000*0.28/2-D57</f>
        <v>135000.00000000003</v>
      </c>
    </row>
    <row r="58" spans="1:13" x14ac:dyDescent="0.25">
      <c r="A58" s="2" t="s">
        <v>43</v>
      </c>
      <c r="B58" s="15"/>
      <c r="C58" s="15"/>
      <c r="E58" s="15"/>
      <c r="F58" s="15"/>
      <c r="G58" s="56">
        <v>500000</v>
      </c>
    </row>
    <row r="59" spans="1:13" x14ac:dyDescent="0.25">
      <c r="A59" s="59" t="s">
        <v>44</v>
      </c>
      <c r="B59" s="60"/>
      <c r="C59" s="60"/>
      <c r="D59" s="60">
        <f>K47</f>
        <v>750000</v>
      </c>
      <c r="E59" s="60"/>
      <c r="F59" s="60"/>
      <c r="G59" s="60">
        <f>K47</f>
        <v>750000</v>
      </c>
    </row>
    <row r="60" spans="1:13" x14ac:dyDescent="0.25">
      <c r="A60" s="59" t="s">
        <v>45</v>
      </c>
      <c r="B60" s="60"/>
      <c r="C60" s="60"/>
      <c r="D60" s="60">
        <f>K48</f>
        <v>45000</v>
      </c>
      <c r="E60" s="60"/>
      <c r="F60" s="60"/>
      <c r="G60" s="60">
        <f>D90</f>
        <v>39375</v>
      </c>
    </row>
    <row r="61" spans="1:13" x14ac:dyDescent="0.25">
      <c r="A61" s="54" t="s">
        <v>54</v>
      </c>
      <c r="B61" s="56">
        <f>380000*1.2</f>
        <v>456000</v>
      </c>
      <c r="C61" s="56">
        <f t="shared" ref="C61:G61" si="25">380000*1.2</f>
        <v>456000</v>
      </c>
      <c r="D61" s="56">
        <f t="shared" si="25"/>
        <v>456000</v>
      </c>
      <c r="E61" s="56">
        <f t="shared" si="25"/>
        <v>456000</v>
      </c>
      <c r="F61" s="56">
        <f t="shared" si="25"/>
        <v>456000</v>
      </c>
      <c r="G61" s="56">
        <f t="shared" si="25"/>
        <v>456000</v>
      </c>
    </row>
    <row r="62" spans="1:13" x14ac:dyDescent="0.25">
      <c r="A62" s="54" t="s">
        <v>46</v>
      </c>
      <c r="B62" s="55">
        <f>E7</f>
        <v>987900</v>
      </c>
      <c r="C62" s="56">
        <f t="shared" ref="C62:G62" si="26">B36</f>
        <v>1502080</v>
      </c>
      <c r="D62" s="56">
        <f t="shared" si="26"/>
        <v>1567963.2</v>
      </c>
      <c r="E62" s="56">
        <f t="shared" si="26"/>
        <v>1700640.4</v>
      </c>
      <c r="F62" s="56">
        <f t="shared" si="26"/>
        <v>1432489.108</v>
      </c>
      <c r="G62" s="56">
        <f t="shared" si="26"/>
        <v>1364738.0310799999</v>
      </c>
    </row>
    <row r="63" spans="1:13" ht="16.149999999999999" customHeight="1" x14ac:dyDescent="0.25">
      <c r="A63" s="7" t="s">
        <v>22</v>
      </c>
      <c r="B63" s="40">
        <f>SUM(B49:B62)</f>
        <v>11645420</v>
      </c>
      <c r="C63" s="8">
        <f t="shared" ref="C63:G63" si="27">SUM(C49:C62)</f>
        <v>18033060.800000001</v>
      </c>
      <c r="D63" s="8">
        <f t="shared" si="27"/>
        <v>18182705.600000001</v>
      </c>
      <c r="E63" s="8">
        <f t="shared" si="27"/>
        <v>18431754.799999997</v>
      </c>
      <c r="F63" s="8">
        <f t="shared" si="27"/>
        <v>16752493.66</v>
      </c>
      <c r="G63" s="8">
        <f t="shared" si="27"/>
        <v>17414636.844599999</v>
      </c>
    </row>
    <row r="66" spans="1:12" x14ac:dyDescent="0.25">
      <c r="A66" s="63" t="s">
        <v>27</v>
      </c>
      <c r="B66" s="63"/>
      <c r="C66" s="63"/>
      <c r="D66" s="63"/>
      <c r="E66" s="63"/>
      <c r="F66" s="63"/>
      <c r="G66" s="63"/>
    </row>
    <row r="67" spans="1:12" x14ac:dyDescent="0.25">
      <c r="A67" s="2"/>
      <c r="B67" s="3" t="s">
        <v>8</v>
      </c>
      <c r="C67" s="3" t="s">
        <v>9</v>
      </c>
      <c r="D67" s="3" t="s">
        <v>10</v>
      </c>
      <c r="E67" s="3" t="s">
        <v>11</v>
      </c>
      <c r="F67" s="3" t="s">
        <v>10</v>
      </c>
      <c r="G67" s="3" t="s">
        <v>8</v>
      </c>
      <c r="I67" s="21" t="s">
        <v>4</v>
      </c>
      <c r="J67" s="28">
        <v>6000000</v>
      </c>
      <c r="L67" t="s">
        <v>71</v>
      </c>
    </row>
    <row r="68" spans="1:12" x14ac:dyDescent="0.25">
      <c r="A68" s="2" t="s">
        <v>51</v>
      </c>
      <c r="B68" s="15">
        <v>190890</v>
      </c>
      <c r="C68" s="15">
        <f>B71</f>
        <v>-4268930</v>
      </c>
      <c r="D68" s="15">
        <f t="shared" ref="D68:G68" si="28">C71</f>
        <v>-6836390.8000000007</v>
      </c>
      <c r="E68" s="15">
        <f t="shared" si="28"/>
        <v>-5089496.4000000022</v>
      </c>
      <c r="F68" s="15">
        <f t="shared" si="28"/>
        <v>-3015651.1999999993</v>
      </c>
      <c r="G68" s="15">
        <f t="shared" si="28"/>
        <v>-376144.8599999994</v>
      </c>
    </row>
    <row r="69" spans="1:12" x14ac:dyDescent="0.25">
      <c r="A69" s="9" t="s">
        <v>48</v>
      </c>
      <c r="B69" s="15">
        <f>B44</f>
        <v>7185600</v>
      </c>
      <c r="C69" s="15">
        <f t="shared" ref="C69:G69" si="29">C44</f>
        <v>15465600</v>
      </c>
      <c r="D69" s="15">
        <f t="shared" si="29"/>
        <v>19929600</v>
      </c>
      <c r="E69" s="15">
        <f t="shared" si="29"/>
        <v>20505600</v>
      </c>
      <c r="F69" s="15">
        <f t="shared" si="29"/>
        <v>19392000</v>
      </c>
      <c r="G69" s="15">
        <f t="shared" si="29"/>
        <v>18220800</v>
      </c>
    </row>
    <row r="70" spans="1:12" x14ac:dyDescent="0.25">
      <c r="A70" s="4" t="s">
        <v>49</v>
      </c>
      <c r="B70" s="6">
        <f>B63</f>
        <v>11645420</v>
      </c>
      <c r="C70" s="6">
        <f t="shared" ref="C70:G70" si="30">C63</f>
        <v>18033060.800000001</v>
      </c>
      <c r="D70" s="6">
        <f t="shared" si="30"/>
        <v>18182705.600000001</v>
      </c>
      <c r="E70" s="6">
        <f t="shared" si="30"/>
        <v>18431754.799999997</v>
      </c>
      <c r="F70" s="6">
        <f t="shared" si="30"/>
        <v>16752493.66</v>
      </c>
      <c r="G70" s="6">
        <f t="shared" si="30"/>
        <v>17414636.844599999</v>
      </c>
    </row>
    <row r="71" spans="1:12" ht="21" x14ac:dyDescent="0.35">
      <c r="A71" s="7" t="s">
        <v>50</v>
      </c>
      <c r="B71" s="49">
        <f>B68+B69-B70</f>
        <v>-4268930</v>
      </c>
      <c r="C71" s="49">
        <f t="shared" ref="C71:G71" si="31">C68+C69-C70</f>
        <v>-6836390.8000000007</v>
      </c>
      <c r="D71" s="49">
        <f t="shared" si="31"/>
        <v>-5089496.4000000022</v>
      </c>
      <c r="E71" s="49">
        <f t="shared" si="31"/>
        <v>-3015651.1999999993</v>
      </c>
      <c r="F71" s="49">
        <f t="shared" si="31"/>
        <v>-376144.8599999994</v>
      </c>
      <c r="G71" s="50">
        <f t="shared" si="31"/>
        <v>430018.29540000111</v>
      </c>
    </row>
    <row r="72" spans="1:12" x14ac:dyDescent="0.25">
      <c r="B72" s="5"/>
      <c r="C72" s="5"/>
      <c r="D72" s="5"/>
      <c r="E72" s="5"/>
      <c r="F72" s="5"/>
    </row>
    <row r="73" spans="1:12" x14ac:dyDescent="0.25">
      <c r="B73" s="5"/>
      <c r="C73" s="5"/>
      <c r="D73" s="5"/>
      <c r="E73" s="5"/>
      <c r="F73" s="5"/>
    </row>
    <row r="74" spans="1:12" x14ac:dyDescent="0.25">
      <c r="B74" s="5"/>
      <c r="C74" s="5"/>
      <c r="D74" s="5"/>
      <c r="E74" s="5"/>
      <c r="F74" s="5"/>
    </row>
    <row r="75" spans="1:12" x14ac:dyDescent="0.25">
      <c r="A75" s="2"/>
      <c r="B75" s="3" t="s">
        <v>8</v>
      </c>
      <c r="C75" s="3" t="s">
        <v>9</v>
      </c>
      <c r="D75" s="3" t="s">
        <v>10</v>
      </c>
      <c r="E75" s="3" t="s">
        <v>11</v>
      </c>
      <c r="F75" s="3" t="s">
        <v>10</v>
      </c>
      <c r="G75" s="3" t="s">
        <v>8</v>
      </c>
      <c r="H75" s="3" t="s">
        <v>22</v>
      </c>
    </row>
    <row r="76" spans="1:12" ht="18.75" x14ac:dyDescent="0.3">
      <c r="A76" s="2" t="s">
        <v>52</v>
      </c>
      <c r="B76" s="41">
        <f>-B71*0.005</f>
        <v>21344.65</v>
      </c>
      <c r="C76" s="30">
        <f t="shared" ref="C76:F76" si="32">-C71*0.005</f>
        <v>34181.954000000005</v>
      </c>
      <c r="D76" s="30">
        <f t="shared" si="32"/>
        <v>25447.482000000011</v>
      </c>
      <c r="E76" s="30">
        <f t="shared" si="32"/>
        <v>15078.255999999996</v>
      </c>
      <c r="F76" s="30">
        <f t="shared" si="32"/>
        <v>1880.7242999999971</v>
      </c>
      <c r="G76" s="30"/>
      <c r="H76" s="51">
        <f>SUM(B76:G76)</f>
        <v>97933.066300000006</v>
      </c>
    </row>
    <row r="77" spans="1:12" x14ac:dyDescent="0.25">
      <c r="B77" s="5"/>
      <c r="C77" s="5"/>
      <c r="D77" s="5"/>
      <c r="E77" s="5"/>
      <c r="F77" s="5"/>
      <c r="G77" s="5"/>
    </row>
    <row r="78" spans="1:12" x14ac:dyDescent="0.25">
      <c r="B78" s="5"/>
      <c r="C78" s="5"/>
      <c r="D78" s="5"/>
      <c r="E78" s="5"/>
      <c r="F78" s="5"/>
      <c r="G78" s="5"/>
    </row>
    <row r="79" spans="1:12" x14ac:dyDescent="0.25">
      <c r="B79" s="5">
        <v>9600000</v>
      </c>
      <c r="C79" s="5">
        <v>9984000</v>
      </c>
      <c r="D79" s="5">
        <v>10752000</v>
      </c>
      <c r="E79" s="5">
        <v>9216000</v>
      </c>
      <c r="F79" s="5">
        <v>8832000</v>
      </c>
      <c r="G79" s="5">
        <v>9792000</v>
      </c>
    </row>
    <row r="80" spans="1:12" x14ac:dyDescent="0.25">
      <c r="A80" s="62" t="s">
        <v>67</v>
      </c>
      <c r="B80" s="4">
        <f>C42*0.015/12</f>
        <v>12000</v>
      </c>
      <c r="C80" s="4">
        <f t="shared" ref="C80:G80" si="33">D42*0.015/12</f>
        <v>12480</v>
      </c>
      <c r="D80" s="4">
        <f t="shared" si="33"/>
        <v>13440</v>
      </c>
      <c r="E80" s="4">
        <f t="shared" si="33"/>
        <v>11520</v>
      </c>
      <c r="F80" s="4">
        <f t="shared" si="33"/>
        <v>11040</v>
      </c>
      <c r="G80" s="4">
        <f t="shared" si="33"/>
        <v>12240</v>
      </c>
      <c r="H80" s="6">
        <f>SUM(B80:G80)</f>
        <v>72720</v>
      </c>
      <c r="I80" t="s">
        <v>62</v>
      </c>
    </row>
    <row r="81" spans="1:9" x14ac:dyDescent="0.25">
      <c r="A81" s="62"/>
      <c r="B81" s="19">
        <v>2000</v>
      </c>
      <c r="C81" s="19">
        <f>B81</f>
        <v>2000</v>
      </c>
      <c r="D81" s="19">
        <f t="shared" ref="D81:G81" si="34">C81</f>
        <v>2000</v>
      </c>
      <c r="E81" s="19">
        <f t="shared" si="34"/>
        <v>2000</v>
      </c>
      <c r="F81" s="19">
        <f t="shared" si="34"/>
        <v>2000</v>
      </c>
      <c r="G81" s="19">
        <f t="shared" si="34"/>
        <v>2000</v>
      </c>
      <c r="H81" s="6">
        <f>SUM(B81:G81)</f>
        <v>12000</v>
      </c>
      <c r="I81" t="s">
        <v>69</v>
      </c>
    </row>
    <row r="82" spans="1:9" ht="18.75" x14ac:dyDescent="0.3">
      <c r="A82" s="62"/>
      <c r="B82" s="20">
        <f>SUM(B80:B81)</f>
        <v>14000</v>
      </c>
      <c r="C82" s="20">
        <f t="shared" ref="C82:G82" si="35">SUM(C80:C81)</f>
        <v>14480</v>
      </c>
      <c r="D82" s="20">
        <f t="shared" si="35"/>
        <v>15440</v>
      </c>
      <c r="E82" s="20">
        <f t="shared" si="35"/>
        <v>13520</v>
      </c>
      <c r="F82" s="20">
        <f t="shared" si="35"/>
        <v>13040</v>
      </c>
      <c r="G82" s="20">
        <f t="shared" si="35"/>
        <v>14240</v>
      </c>
      <c r="H82" s="52">
        <f>SUM(B82:G82)</f>
        <v>84720</v>
      </c>
      <c r="I82" t="s">
        <v>22</v>
      </c>
    </row>
    <row r="85" spans="1:9" x14ac:dyDescent="0.25">
      <c r="A85" s="2" t="s">
        <v>97</v>
      </c>
      <c r="B85" s="2">
        <f>7000000*0.03/12</f>
        <v>17500</v>
      </c>
      <c r="C85" s="2">
        <f t="shared" ref="C85:F85" si="36">7000000*0.03/12</f>
        <v>17500</v>
      </c>
      <c r="D85" s="2">
        <f t="shared" si="36"/>
        <v>17500</v>
      </c>
      <c r="E85" s="2">
        <f t="shared" si="36"/>
        <v>17500</v>
      </c>
      <c r="F85" s="2">
        <f t="shared" si="36"/>
        <v>17500</v>
      </c>
      <c r="G85" s="2"/>
      <c r="H85" s="13">
        <f>SUM(B85:F85)</f>
        <v>87500</v>
      </c>
    </row>
    <row r="88" spans="1:9" x14ac:dyDescent="0.25">
      <c r="A88" s="2"/>
      <c r="B88" s="2" t="s">
        <v>60</v>
      </c>
      <c r="C88" s="2" t="s">
        <v>61</v>
      </c>
      <c r="D88" s="2" t="s">
        <v>62</v>
      </c>
      <c r="E88" s="2" t="s">
        <v>63</v>
      </c>
    </row>
    <row r="89" spans="1:9" x14ac:dyDescent="0.25">
      <c r="A89" s="2">
        <v>1</v>
      </c>
      <c r="B89" s="2">
        <v>6000000</v>
      </c>
      <c r="C89" s="2">
        <f>B89/8</f>
        <v>750000</v>
      </c>
      <c r="D89" s="2">
        <f>B89*0.03/4</f>
        <v>45000</v>
      </c>
      <c r="E89" s="7">
        <f>C89+D89</f>
        <v>795000</v>
      </c>
      <c r="F89" t="s">
        <v>64</v>
      </c>
    </row>
    <row r="90" spans="1:9" x14ac:dyDescent="0.25">
      <c r="A90" s="2">
        <v>2</v>
      </c>
      <c r="B90" s="2">
        <f>B89-C89</f>
        <v>5250000</v>
      </c>
      <c r="C90" s="2">
        <f>C89</f>
        <v>750000</v>
      </c>
      <c r="D90" s="2">
        <f>B90*0.03/4</f>
        <v>39375</v>
      </c>
      <c r="E90" s="7">
        <f>C90+D90</f>
        <v>789375</v>
      </c>
      <c r="F90" t="s">
        <v>65</v>
      </c>
    </row>
    <row r="91" spans="1:9" x14ac:dyDescent="0.25">
      <c r="A91" s="2">
        <v>3</v>
      </c>
      <c r="B91" s="2">
        <f>B90-C90</f>
        <v>4500000</v>
      </c>
      <c r="C91" s="2">
        <f t="shared" ref="C91" si="37">C90</f>
        <v>750000</v>
      </c>
      <c r="D91" s="2">
        <f>B91*0.03/4</f>
        <v>33750</v>
      </c>
      <c r="E91" s="7">
        <f>C91+D91</f>
        <v>783750</v>
      </c>
      <c r="F91" t="s">
        <v>68</v>
      </c>
    </row>
    <row r="95" spans="1:9" x14ac:dyDescent="0.25">
      <c r="B95" s="21" t="s">
        <v>83</v>
      </c>
    </row>
    <row r="96" spans="1:9" x14ac:dyDescent="0.25">
      <c r="A96" t="s">
        <v>70</v>
      </c>
      <c r="B96">
        <v>3000000</v>
      </c>
    </row>
    <row r="97" spans="1:3" x14ac:dyDescent="0.25">
      <c r="A97" t="s">
        <v>25</v>
      </c>
      <c r="B97">
        <f>B96*0.22</f>
        <v>660000</v>
      </c>
    </row>
    <row r="98" spans="1:3" x14ac:dyDescent="0.25">
      <c r="A98" t="s">
        <v>26</v>
      </c>
      <c r="B98">
        <f>B96*0.45</f>
        <v>1350000</v>
      </c>
    </row>
    <row r="100" spans="1:3" x14ac:dyDescent="0.25">
      <c r="A100" t="s">
        <v>84</v>
      </c>
      <c r="B100">
        <f>B96-B97</f>
        <v>2340000</v>
      </c>
      <c r="C100" s="35" t="s">
        <v>85</v>
      </c>
    </row>
    <row r="101" spans="1:3" x14ac:dyDescent="0.25">
      <c r="A101" t="s">
        <v>6</v>
      </c>
      <c r="B101">
        <f>B97+B98</f>
        <v>2010000</v>
      </c>
      <c r="C101" s="35" t="s">
        <v>86</v>
      </c>
    </row>
  </sheetData>
  <mergeCells count="9">
    <mergeCell ref="A80:A82"/>
    <mergeCell ref="A47:G47"/>
    <mergeCell ref="A66:G66"/>
    <mergeCell ref="A32:G32"/>
    <mergeCell ref="A3:B3"/>
    <mergeCell ref="A10:G10"/>
    <mergeCell ref="A16:G16"/>
    <mergeCell ref="A25:G25"/>
    <mergeCell ref="A38:G38"/>
  </mergeCells>
  <pageMargins left="0.7" right="0.7" top="0.75" bottom="0.75" header="0.3" footer="0.3"/>
  <pageSetup paperSize="9" scale="73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F6BB-6CEB-4DD3-A4F7-DA27F399A83B}">
  <dimension ref="B4:F11"/>
  <sheetViews>
    <sheetView workbookViewId="0">
      <selection activeCell="B12" sqref="B12"/>
    </sheetView>
  </sheetViews>
  <sheetFormatPr baseColWidth="10" defaultRowHeight="15" x14ac:dyDescent="0.25"/>
  <cols>
    <col min="2" max="2" width="35.85546875" customWidth="1"/>
    <col min="5" max="5" width="31.42578125" customWidth="1"/>
  </cols>
  <sheetData>
    <row r="4" spans="2:6" x14ac:dyDescent="0.25">
      <c r="B4" t="s">
        <v>70</v>
      </c>
      <c r="C4">
        <v>5000</v>
      </c>
    </row>
    <row r="5" spans="2:6" x14ac:dyDescent="0.25">
      <c r="B5" t="s">
        <v>87</v>
      </c>
      <c r="C5">
        <f>C4*0.22</f>
        <v>1100</v>
      </c>
      <c r="E5" t="s">
        <v>89</v>
      </c>
      <c r="F5">
        <f>C4*0.45</f>
        <v>2250</v>
      </c>
    </row>
    <row r="6" spans="2:6" x14ac:dyDescent="0.25">
      <c r="B6" t="s">
        <v>88</v>
      </c>
      <c r="C6">
        <f>C4-C5</f>
        <v>3900</v>
      </c>
    </row>
    <row r="9" spans="2:6" x14ac:dyDescent="0.25">
      <c r="B9" t="s">
        <v>90</v>
      </c>
      <c r="C9">
        <f>C6+C5+F5</f>
        <v>7250</v>
      </c>
    </row>
    <row r="11" spans="2:6" x14ac:dyDescent="0.25">
      <c r="B11" t="s">
        <v>91</v>
      </c>
      <c r="C11">
        <f>C4+F5</f>
        <v>7250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6443-D9E6-4FC1-B269-88A2DFC19C15}">
  <dimension ref="A2:I13"/>
  <sheetViews>
    <sheetView workbookViewId="0">
      <selection activeCell="E18" sqref="E18"/>
    </sheetView>
  </sheetViews>
  <sheetFormatPr baseColWidth="10" defaultRowHeight="15" x14ac:dyDescent="0.25"/>
  <cols>
    <col min="5" max="5" width="23" customWidth="1"/>
    <col min="7" max="7" width="20.28515625" customWidth="1"/>
  </cols>
  <sheetData>
    <row r="2" spans="1:9" x14ac:dyDescent="0.25">
      <c r="E2" t="s">
        <v>79</v>
      </c>
      <c r="F2" t="s">
        <v>80</v>
      </c>
    </row>
    <row r="4" spans="1:9" ht="30" x14ac:dyDescent="0.25">
      <c r="A4" s="2"/>
      <c r="B4" s="2" t="s">
        <v>94</v>
      </c>
      <c r="C4" s="2" t="s">
        <v>93</v>
      </c>
      <c r="D4" s="2" t="s">
        <v>92</v>
      </c>
      <c r="E4" s="3" t="s">
        <v>78</v>
      </c>
      <c r="F4" s="3" t="s">
        <v>62</v>
      </c>
      <c r="G4" s="37" t="s">
        <v>81</v>
      </c>
      <c r="H4" s="37" t="s">
        <v>82</v>
      </c>
    </row>
    <row r="5" spans="1:9" x14ac:dyDescent="0.25">
      <c r="A5" s="62" t="s">
        <v>76</v>
      </c>
      <c r="B5" s="23" t="s">
        <v>95</v>
      </c>
      <c r="C5" s="2" t="s">
        <v>72</v>
      </c>
      <c r="D5" s="2">
        <v>1</v>
      </c>
      <c r="E5" s="38">
        <v>6000000</v>
      </c>
      <c r="F5" s="39">
        <f>E5*0.75/100</f>
        <v>45000</v>
      </c>
      <c r="G5" s="48">
        <f>E5/8</f>
        <v>750000</v>
      </c>
      <c r="H5" s="47">
        <f>G5+F5</f>
        <v>795000</v>
      </c>
      <c r="I5" s="29"/>
    </row>
    <row r="6" spans="1:9" x14ac:dyDescent="0.25">
      <c r="A6" s="62"/>
      <c r="B6" s="23" t="s">
        <v>96</v>
      </c>
      <c r="C6" s="2" t="s">
        <v>73</v>
      </c>
      <c r="D6" s="2">
        <v>2</v>
      </c>
      <c r="E6" s="38">
        <f>E5-G5</f>
        <v>5250000</v>
      </c>
      <c r="F6" s="39">
        <f>E6*0.75/100</f>
        <v>39375</v>
      </c>
      <c r="G6" s="39">
        <f>G5</f>
        <v>750000</v>
      </c>
      <c r="H6" s="47">
        <f t="shared" ref="H6:H12" si="0">G6+F6</f>
        <v>789375</v>
      </c>
      <c r="I6" s="29"/>
    </row>
    <row r="7" spans="1:9" x14ac:dyDescent="0.25">
      <c r="A7" s="62"/>
      <c r="B7" s="23"/>
      <c r="C7" s="2" t="s">
        <v>74</v>
      </c>
      <c r="D7" s="2">
        <v>3</v>
      </c>
      <c r="E7" s="38">
        <f t="shared" ref="E7:E12" si="1">E6-750000</f>
        <v>4500000</v>
      </c>
      <c r="F7" s="36">
        <f t="shared" ref="F7:F12" si="2">E7*0.75/100</f>
        <v>33750</v>
      </c>
      <c r="G7" s="38">
        <f t="shared" ref="G7:G12" si="3">G6</f>
        <v>750000</v>
      </c>
      <c r="H7" s="38">
        <f t="shared" si="0"/>
        <v>783750</v>
      </c>
      <c r="I7" s="29"/>
    </row>
    <row r="8" spans="1:9" x14ac:dyDescent="0.25">
      <c r="A8" s="62"/>
      <c r="B8" s="23"/>
      <c r="C8" s="2" t="s">
        <v>75</v>
      </c>
      <c r="D8" s="2">
        <v>4</v>
      </c>
      <c r="E8" s="38">
        <f t="shared" si="1"/>
        <v>3750000</v>
      </c>
      <c r="F8" s="36">
        <f t="shared" si="2"/>
        <v>28125</v>
      </c>
      <c r="G8" s="38">
        <f t="shared" si="3"/>
        <v>750000</v>
      </c>
      <c r="H8" s="38">
        <f t="shared" si="0"/>
        <v>778125</v>
      </c>
      <c r="I8" s="29"/>
    </row>
    <row r="9" spans="1:9" x14ac:dyDescent="0.25">
      <c r="A9" s="62" t="s">
        <v>77</v>
      </c>
      <c r="B9" s="23"/>
      <c r="C9" s="2" t="s">
        <v>72</v>
      </c>
      <c r="D9" s="2">
        <v>5</v>
      </c>
      <c r="E9" s="38">
        <f t="shared" si="1"/>
        <v>3000000</v>
      </c>
      <c r="F9" s="36">
        <f t="shared" si="2"/>
        <v>22500</v>
      </c>
      <c r="G9" s="38">
        <f t="shared" si="3"/>
        <v>750000</v>
      </c>
      <c r="H9" s="38">
        <f t="shared" si="0"/>
        <v>772500</v>
      </c>
      <c r="I9" s="29"/>
    </row>
    <row r="10" spans="1:9" x14ac:dyDescent="0.25">
      <c r="A10" s="62"/>
      <c r="B10" s="23"/>
      <c r="C10" s="2" t="s">
        <v>73</v>
      </c>
      <c r="D10" s="2">
        <v>6</v>
      </c>
      <c r="E10" s="38">
        <f t="shared" si="1"/>
        <v>2250000</v>
      </c>
      <c r="F10" s="36">
        <f t="shared" si="2"/>
        <v>16875</v>
      </c>
      <c r="G10" s="38">
        <f t="shared" si="3"/>
        <v>750000</v>
      </c>
      <c r="H10" s="38">
        <f t="shared" si="0"/>
        <v>766875</v>
      </c>
      <c r="I10" s="29"/>
    </row>
    <row r="11" spans="1:9" x14ac:dyDescent="0.25">
      <c r="A11" s="62"/>
      <c r="B11" s="23"/>
      <c r="C11" s="2" t="s">
        <v>74</v>
      </c>
      <c r="D11" s="2">
        <v>7</v>
      </c>
      <c r="E11" s="38">
        <f t="shared" si="1"/>
        <v>1500000</v>
      </c>
      <c r="F11" s="36">
        <f t="shared" si="2"/>
        <v>11250</v>
      </c>
      <c r="G11" s="38">
        <f t="shared" si="3"/>
        <v>750000</v>
      </c>
      <c r="H11" s="38">
        <f t="shared" si="0"/>
        <v>761250</v>
      </c>
      <c r="I11" s="29"/>
    </row>
    <row r="12" spans="1:9" x14ac:dyDescent="0.25">
      <c r="A12" s="62"/>
      <c r="B12" s="23"/>
      <c r="C12" s="2" t="s">
        <v>75</v>
      </c>
      <c r="D12" s="2">
        <v>8</v>
      </c>
      <c r="E12" s="38">
        <f t="shared" si="1"/>
        <v>750000</v>
      </c>
      <c r="F12" s="36">
        <f t="shared" si="2"/>
        <v>5625</v>
      </c>
      <c r="G12" s="38">
        <f t="shared" si="3"/>
        <v>750000</v>
      </c>
      <c r="H12" s="38">
        <f t="shared" si="0"/>
        <v>755625</v>
      </c>
      <c r="I12" s="29"/>
    </row>
    <row r="13" spans="1:9" x14ac:dyDescent="0.25">
      <c r="G13" s="29">
        <f>SUM(G5:G12)</f>
        <v>6000000</v>
      </c>
    </row>
  </sheetData>
  <mergeCells count="2">
    <mergeCell ref="A5:A8"/>
    <mergeCell ref="A9:A12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4D3E6-CFFE-40CE-9250-C017538FD817}">
  <dimension ref="B3:I13"/>
  <sheetViews>
    <sheetView zoomScale="220" zoomScaleNormal="220" workbookViewId="0">
      <selection activeCell="I6" sqref="I6"/>
    </sheetView>
  </sheetViews>
  <sheetFormatPr baseColWidth="10" defaultRowHeight="15" x14ac:dyDescent="0.25"/>
  <cols>
    <col min="2" max="2" width="24.85546875" customWidth="1"/>
  </cols>
  <sheetData>
    <row r="3" spans="2:9" x14ac:dyDescent="0.25">
      <c r="C3" t="s">
        <v>8</v>
      </c>
      <c r="D3" t="s">
        <v>9</v>
      </c>
      <c r="E3" t="s">
        <v>10</v>
      </c>
      <c r="F3" t="s">
        <v>11</v>
      </c>
      <c r="G3" t="s">
        <v>10</v>
      </c>
      <c r="H3" t="s">
        <v>8</v>
      </c>
    </row>
    <row r="4" spans="2:9" x14ac:dyDescent="0.25">
      <c r="B4" t="s">
        <v>30</v>
      </c>
      <c r="C4">
        <v>4305600</v>
      </c>
      <c r="D4">
        <v>2870400</v>
      </c>
    </row>
    <row r="5" spans="2:9" x14ac:dyDescent="0.25">
      <c r="B5" t="s">
        <v>31</v>
      </c>
      <c r="C5">
        <v>2880000</v>
      </c>
      <c r="D5">
        <v>2995200</v>
      </c>
      <c r="E5">
        <v>3225600</v>
      </c>
      <c r="F5">
        <v>2764800</v>
      </c>
      <c r="G5">
        <v>2649600</v>
      </c>
      <c r="H5">
        <v>2937600</v>
      </c>
    </row>
    <row r="6" spans="2:9" x14ac:dyDescent="0.25">
      <c r="B6" s="61" t="s">
        <v>32</v>
      </c>
      <c r="C6" s="61"/>
      <c r="D6" s="61">
        <v>9600000</v>
      </c>
      <c r="E6" s="61">
        <v>9984000</v>
      </c>
      <c r="F6" s="61">
        <v>10752000</v>
      </c>
      <c r="G6" s="61">
        <v>9216000</v>
      </c>
      <c r="H6" s="61">
        <v>8832000</v>
      </c>
      <c r="I6" s="61">
        <v>9792000</v>
      </c>
    </row>
    <row r="7" spans="2:9" x14ac:dyDescent="0.25">
      <c r="B7" t="s">
        <v>33</v>
      </c>
      <c r="E7">
        <v>6720000</v>
      </c>
      <c r="F7">
        <v>6988800</v>
      </c>
      <c r="G7">
        <v>7526399.9999999991</v>
      </c>
      <c r="H7">
        <v>6451200</v>
      </c>
      <c r="I7">
        <v>6182400</v>
      </c>
    </row>
    <row r="8" spans="2:9" x14ac:dyDescent="0.25">
      <c r="B8" t="s">
        <v>22</v>
      </c>
      <c r="C8">
        <v>7185600</v>
      </c>
      <c r="D8">
        <v>15465600</v>
      </c>
      <c r="E8">
        <v>19929600</v>
      </c>
      <c r="F8">
        <v>20505600</v>
      </c>
      <c r="G8">
        <v>19392000</v>
      </c>
      <c r="H8">
        <v>18220800</v>
      </c>
    </row>
    <row r="10" spans="2:9" x14ac:dyDescent="0.25">
      <c r="C10" s="61">
        <v>9600000</v>
      </c>
      <c r="D10" s="61">
        <v>9984000</v>
      </c>
      <c r="E10" s="61">
        <v>10752000</v>
      </c>
      <c r="F10" s="61">
        <v>9216000</v>
      </c>
      <c r="G10" s="61">
        <v>8832000</v>
      </c>
      <c r="H10" s="61">
        <v>9792000</v>
      </c>
    </row>
    <row r="11" spans="2:9" x14ac:dyDescent="0.25">
      <c r="B11" t="s">
        <v>69</v>
      </c>
      <c r="C11">
        <v>2000</v>
      </c>
      <c r="D11">
        <v>2000</v>
      </c>
      <c r="E11">
        <v>2000</v>
      </c>
      <c r="F11">
        <v>2000</v>
      </c>
      <c r="G11">
        <v>2000</v>
      </c>
      <c r="H11">
        <v>2000</v>
      </c>
      <c r="I11">
        <f>SUM(C11:H11)</f>
        <v>12000</v>
      </c>
    </row>
    <row r="12" spans="2:9" x14ac:dyDescent="0.25">
      <c r="B12" t="s">
        <v>98</v>
      </c>
      <c r="C12">
        <f>C10*0.015/12</f>
        <v>12000</v>
      </c>
      <c r="D12">
        <f t="shared" ref="D12:H12" si="0">D10*0.015/12</f>
        <v>12480</v>
      </c>
      <c r="E12">
        <f t="shared" si="0"/>
        <v>13440</v>
      </c>
      <c r="F12">
        <f t="shared" si="0"/>
        <v>11520</v>
      </c>
      <c r="G12">
        <f t="shared" si="0"/>
        <v>11040</v>
      </c>
      <c r="H12">
        <f t="shared" si="0"/>
        <v>12240</v>
      </c>
      <c r="I12">
        <f>SUM(C12:H12)</f>
        <v>72720</v>
      </c>
    </row>
    <row r="13" spans="2:9" x14ac:dyDescent="0.25">
      <c r="I13">
        <f>I11+I12</f>
        <v>84720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Exercice 2</vt:lpstr>
      <vt:lpstr>Feuil2</vt:lpstr>
      <vt:lpstr>Feuil1</vt:lpstr>
      <vt:lpstr>Feuil3</vt:lpstr>
      <vt:lpstr>'Exercice 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cp:lastPrinted>2020-03-04T09:01:58Z</cp:lastPrinted>
  <dcterms:created xsi:type="dcterms:W3CDTF">2018-10-31T09:01:39Z</dcterms:created>
  <dcterms:modified xsi:type="dcterms:W3CDTF">2023-02-23T10:05:47Z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55cc1e0e-dcf2-4575-8300-b3995ceece7e</vt:lpwstr>
  </property>
</Properties>
</file>