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4107/2020 2021/Theme 4 La synthese budgétaire/"/>
    </mc:Choice>
  </mc:AlternateContent>
  <xr:revisionPtr revIDLastSave="2" documentId="8_{248B308B-2DAC-435E-BD73-84D693623471}" xr6:coauthVersionLast="36" xr6:coauthVersionMax="36" xr10:uidLastSave="{E6087258-821F-4894-B7A4-00077E20D88B}"/>
  <bookViews>
    <workbookView xWindow="0" yWindow="0" windowWidth="28800" windowHeight="11925" xr2:uid="{F6D503EC-AFF4-4D74-A48C-69224B67C08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L85" i="1"/>
  <c r="J82" i="1"/>
  <c r="B82" i="1"/>
  <c r="J81" i="1"/>
  <c r="J80" i="1"/>
  <c r="J79" i="1"/>
  <c r="J83" i="1" s="1"/>
  <c r="E76" i="1"/>
  <c r="B75" i="1"/>
  <c r="D73" i="1"/>
  <c r="C73" i="1"/>
  <c r="B72" i="1"/>
  <c r="C72" i="1" s="1"/>
  <c r="D72" i="1" s="1"/>
  <c r="C71" i="1"/>
  <c r="C70" i="1"/>
  <c r="B70" i="1"/>
  <c r="B67" i="1"/>
  <c r="B77" i="1" s="1"/>
  <c r="B84" i="1" s="1"/>
  <c r="D50" i="1"/>
  <c r="D49" i="1"/>
  <c r="B46" i="1"/>
  <c r="C45" i="1"/>
  <c r="D71" i="1" s="1"/>
  <c r="C44" i="1"/>
  <c r="D44" i="1" s="1"/>
  <c r="E73" i="1" s="1"/>
  <c r="C43" i="1"/>
  <c r="D43" i="1" s="1"/>
  <c r="E43" i="1" s="1"/>
  <c r="E42" i="1"/>
  <c r="J69" i="1" s="1"/>
  <c r="D42" i="1"/>
  <c r="C42" i="1"/>
  <c r="D41" i="1"/>
  <c r="C41" i="1"/>
  <c r="C49" i="1" s="1"/>
  <c r="B41" i="1"/>
  <c r="B49" i="1" s="1"/>
  <c r="B38" i="1"/>
  <c r="B51" i="1" s="1"/>
  <c r="B37" i="1"/>
  <c r="D36" i="1"/>
  <c r="D37" i="1" s="1"/>
  <c r="D38" i="1" s="1"/>
  <c r="B36" i="1"/>
  <c r="D32" i="1"/>
  <c r="D58" i="1" s="1"/>
  <c r="D31" i="1"/>
  <c r="C31" i="1"/>
  <c r="C32" i="1" s="1"/>
  <c r="D30" i="1"/>
  <c r="C30" i="1"/>
  <c r="C36" i="1" s="1"/>
  <c r="C37" i="1" s="1"/>
  <c r="C38" i="1" s="1"/>
  <c r="B30" i="1"/>
  <c r="B31" i="1" s="1"/>
  <c r="D14" i="1"/>
  <c r="D16" i="1" s="1"/>
  <c r="B14" i="1"/>
  <c r="B16" i="1" s="1"/>
  <c r="B8" i="1"/>
  <c r="D7" i="1"/>
  <c r="E37" i="1" l="1"/>
  <c r="J68" i="1" s="1"/>
  <c r="E68" i="1"/>
  <c r="B32" i="1"/>
  <c r="E31" i="1"/>
  <c r="L68" i="1" s="1"/>
  <c r="L74" i="1" s="1"/>
  <c r="E69" i="1"/>
  <c r="F69" i="1" s="1"/>
  <c r="L86" i="1" s="1"/>
  <c r="C51" i="1"/>
  <c r="D68" i="1"/>
  <c r="D59" i="1"/>
  <c r="C58" i="1"/>
  <c r="C50" i="1"/>
  <c r="C52" i="1" s="1"/>
  <c r="D75" i="1" s="1"/>
  <c r="E60" i="1"/>
  <c r="C46" i="1"/>
  <c r="D69" i="1"/>
  <c r="E44" i="1"/>
  <c r="G43" i="1" s="1"/>
  <c r="J71" i="1" s="1"/>
  <c r="E59" i="1"/>
  <c r="C68" i="1"/>
  <c r="D45" i="1"/>
  <c r="E71" i="1" s="1"/>
  <c r="E45" i="1"/>
  <c r="J70" i="1" s="1"/>
  <c r="D70" i="1"/>
  <c r="D51" i="1" l="1"/>
  <c r="D52" i="1" s="1"/>
  <c r="E75" i="1" s="1"/>
  <c r="L87" i="1" s="1"/>
  <c r="C77" i="1"/>
  <c r="C84" i="1" s="1"/>
  <c r="J74" i="1"/>
  <c r="J75" i="1" s="1"/>
  <c r="L81" i="1" s="1"/>
  <c r="L82" i="1" s="1"/>
  <c r="C59" i="1"/>
  <c r="C61" i="1" s="1"/>
  <c r="C83" i="1" s="1"/>
  <c r="B58" i="1"/>
  <c r="B61" i="1" s="1"/>
  <c r="B83" i="1" s="1"/>
  <c r="B85" i="1" s="1"/>
  <c r="C82" i="1" s="1"/>
  <c r="B50" i="1"/>
  <c r="B52" i="1" s="1"/>
  <c r="C75" i="1" s="1"/>
  <c r="D60" i="1"/>
  <c r="D61" i="1" s="1"/>
  <c r="D83" i="1" s="1"/>
  <c r="E61" i="1"/>
  <c r="J86" i="1" s="1"/>
  <c r="J90" i="1" s="1"/>
  <c r="J92" i="1" s="1"/>
  <c r="D77" i="1"/>
  <c r="D84" i="1" s="1"/>
  <c r="D46" i="1"/>
  <c r="E77" i="1" l="1"/>
  <c r="C85" i="1"/>
  <c r="D82" i="1" s="1"/>
  <c r="D85" i="1" s="1"/>
  <c r="L89" i="1" s="1"/>
  <c r="L90" i="1" s="1"/>
  <c r="L9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43" authorId="0" shapeId="0" xr:uid="{70F96ADF-1862-4AAF-AEF8-7A56943AC509}">
      <text>
        <r>
          <rPr>
            <b/>
            <sz val="9"/>
            <color indexed="81"/>
            <rFont val="Tahoma"/>
            <family val="2"/>
          </rPr>
          <t>SB : 60000
CP : 60000*40% = 24000</t>
        </r>
        <r>
          <rPr>
            <sz val="9"/>
            <color indexed="81"/>
            <rFont val="Tahoma"/>
            <family val="2"/>
          </rPr>
          <t xml:space="preserve">
OU
SN : 60000 - 20%(60000) = 48000
CP + CS = 24000 + 12000 = 36000</t>
        </r>
      </text>
    </comment>
    <comment ref="E59" authorId="0" shapeId="0" xr:uid="{BF7E675E-CA57-4665-B3D7-70B6D3976BF3}">
      <text>
        <r>
          <rPr>
            <b/>
            <sz val="9"/>
            <color indexed="81"/>
            <rFont val="Tahoma"/>
            <family val="2"/>
          </rPr>
          <t>Créance du mois de Mars qui sera payée en Avril : 
146880 * 50% = 73440€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 xr:uid="{94247F33-BDEB-40B4-8A5E-44D14FBDD501}">
      <text>
        <r>
          <rPr>
            <b/>
            <sz val="9"/>
            <color indexed="81"/>
            <rFont val="Tahoma"/>
            <family val="2"/>
          </rPr>
          <t>Créance du mois de Mars qui sera payée en Mai : 
146880 * 15% = 22032€
Créance du mois de Février  qui sera payée en Avril : 
172800 * 15% = 25920€</t>
        </r>
      </text>
    </comment>
    <comment ref="C68" authorId="0" shapeId="0" xr:uid="{356E2D58-0230-4C2B-BEB0-338E9B4E5F9C}">
      <text>
        <r>
          <rPr>
            <b/>
            <sz val="9"/>
            <color indexed="81"/>
            <rFont val="Tahoma"/>
            <family val="2"/>
          </rPr>
          <t>46440 * 30% = 13932€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2" authorId="0" shapeId="0" xr:uid="{A75A42C9-20F6-44D4-8454-F3CDCF31347A}">
      <text>
        <r>
          <rPr>
            <b/>
            <sz val="9"/>
            <color indexed="81"/>
            <rFont val="Tahoma"/>
            <family val="2"/>
          </rPr>
          <t>60000 - 12000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0" shapeId="0" xr:uid="{00DE57FA-DB81-462B-B82D-C2502290B6EF}">
      <text>
        <r>
          <rPr>
            <b/>
            <sz val="9"/>
            <color indexed="81"/>
            <rFont val="Tahoma"/>
            <family val="2"/>
          </rPr>
          <t>24000 + 12000 = 36000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6" authorId="0" shapeId="0" xr:uid="{2636E501-E85D-42BA-9B18-0DDD674D6B5E}">
      <text>
        <r>
          <rPr>
            <b/>
            <sz val="9"/>
            <color indexed="81"/>
            <rFont val="Tahoma"/>
            <family val="2"/>
          </rPr>
          <t>6000€ Autres frais
79980€ Frs d'achat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<sst xmlns="http://schemas.openxmlformats.org/spreadsheetml/2006/main" count="152" uniqueCount="97">
  <si>
    <t>ACTIF</t>
  </si>
  <si>
    <t>Exercice N-1</t>
  </si>
  <si>
    <t>PASSIF</t>
  </si>
  <si>
    <t>Actif immobilisé</t>
  </si>
  <si>
    <t>Capitaux Propres</t>
  </si>
  <si>
    <t>Immobilisations corporelles</t>
  </si>
  <si>
    <t>Capital</t>
  </si>
  <si>
    <t>Construction</t>
  </si>
  <si>
    <t>Reserves</t>
  </si>
  <si>
    <t>Matériel de bureau</t>
  </si>
  <si>
    <t>Mobilier</t>
  </si>
  <si>
    <t>TOTAL 1</t>
  </si>
  <si>
    <t>Dettes</t>
  </si>
  <si>
    <t>Actif circulant</t>
  </si>
  <si>
    <t>Emprunt</t>
  </si>
  <si>
    <t>Client</t>
  </si>
  <si>
    <t>Fournisseur</t>
  </si>
  <si>
    <t>Banque</t>
  </si>
  <si>
    <t>TVA a decaisser</t>
  </si>
  <si>
    <t>Dettes sociales</t>
  </si>
  <si>
    <t>TOTAL 2</t>
  </si>
  <si>
    <t>TOTAL GENERAL</t>
  </si>
  <si>
    <t>(1) Client : 30000 à 30 jours et 15000 à 60 jours</t>
  </si>
  <si>
    <t>(2) TVA à décaisser : 20 janvier N</t>
  </si>
  <si>
    <t>(3) Fournisseurs : 19000 à 30 jours et 40000 à 45 jours</t>
  </si>
  <si>
    <t>(4) Emprunt : Remboursement par trimestre. Prochain remboursement</t>
  </si>
  <si>
    <t>le 31/03/N : 32500€ (dont 2500€ d'intérêts)</t>
  </si>
  <si>
    <t>Quantité vendue</t>
  </si>
  <si>
    <t>(5) Dettes sociales : 15 du mois suivant (15 janvier)</t>
  </si>
  <si>
    <t>J</t>
  </si>
  <si>
    <t>F</t>
  </si>
  <si>
    <t>M</t>
  </si>
  <si>
    <t>PV HT</t>
  </si>
  <si>
    <t>PA HT</t>
  </si>
  <si>
    <t>Loyer</t>
  </si>
  <si>
    <t xml:space="preserve">Salaire </t>
  </si>
  <si>
    <t>net</t>
  </si>
  <si>
    <t>BUDGET DES VENTES</t>
  </si>
  <si>
    <t>TOTAL</t>
  </si>
  <si>
    <t>Charges sociales</t>
  </si>
  <si>
    <t>Autres fraus</t>
  </si>
  <si>
    <t>Quantité</t>
  </si>
  <si>
    <t>CA HT</t>
  </si>
  <si>
    <t xml:space="preserve">Client </t>
  </si>
  <si>
    <t>Comptant</t>
  </si>
  <si>
    <t>CA TTC</t>
  </si>
  <si>
    <t>30 jours</t>
  </si>
  <si>
    <t>60 jours</t>
  </si>
  <si>
    <t>BUDGET DES ACHATS</t>
  </si>
  <si>
    <t>Frs</t>
  </si>
  <si>
    <t>Achats HT</t>
  </si>
  <si>
    <t>Achat TTC</t>
  </si>
  <si>
    <t>BUDGET DES AUTRES CHARGES</t>
  </si>
  <si>
    <t>Loyer (HT)</t>
  </si>
  <si>
    <t>Charges de personnel</t>
  </si>
  <si>
    <t>Salaires nets</t>
  </si>
  <si>
    <t>Charges sociales Pat  + Sal</t>
  </si>
  <si>
    <t>Autres frais (HT)</t>
  </si>
  <si>
    <t>BUDGET DE TVA</t>
  </si>
  <si>
    <t>TVA COLLECTEE</t>
  </si>
  <si>
    <t>TVA DEDUCTIBLE</t>
  </si>
  <si>
    <t>TVA A DECAISSER</t>
  </si>
  <si>
    <t>BUDGET DES ENCAISSEMENTS</t>
  </si>
  <si>
    <t>BILAN</t>
  </si>
  <si>
    <t>Créances clients au bilan</t>
  </si>
  <si>
    <t xml:space="preserve">Comptant </t>
  </si>
  <si>
    <t xml:space="preserve">A 30 jours </t>
  </si>
  <si>
    <t>A 60 jours</t>
  </si>
  <si>
    <t>BUDGET DES DECAISSEMENTS</t>
  </si>
  <si>
    <t xml:space="preserve">BILAN </t>
  </si>
  <si>
    <t>Dettes Frs au bilan</t>
  </si>
  <si>
    <t>COMPTE DE RESULTAT PREVISIONNEL</t>
  </si>
  <si>
    <t>Dettes sociales au bilan</t>
  </si>
  <si>
    <t>CHARGES</t>
  </si>
  <si>
    <t>PRODUIT</t>
  </si>
  <si>
    <t>Frs à 30 jours</t>
  </si>
  <si>
    <t>Achat</t>
  </si>
  <si>
    <t>Ventes</t>
  </si>
  <si>
    <t>Frs à 60 jours</t>
  </si>
  <si>
    <t>Autres frais</t>
  </si>
  <si>
    <t xml:space="preserve">Autres frais </t>
  </si>
  <si>
    <t>Salaires nets (Salariés)</t>
  </si>
  <si>
    <t>Intérêts</t>
  </si>
  <si>
    <t>Charges sociales (Sal + Pat)</t>
  </si>
  <si>
    <t>Amortissement</t>
  </si>
  <si>
    <t>TOTAL CHARGES</t>
  </si>
  <si>
    <t>TOTAL PRODUIT</t>
  </si>
  <si>
    <t>TVA à décaisser</t>
  </si>
  <si>
    <t>Déficit</t>
  </si>
  <si>
    <t>Remboursement Emprunt</t>
  </si>
  <si>
    <t>BUDGET DE TRESORERIE</t>
  </si>
  <si>
    <t>Résultat</t>
  </si>
  <si>
    <t>Solde Initial</t>
  </si>
  <si>
    <t>-Amortissements</t>
  </si>
  <si>
    <t>Encaissements</t>
  </si>
  <si>
    <t>Décaissements</t>
  </si>
  <si>
    <t>Solde Final (SI + E -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</si>
</sst>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164" fontId="0" fillId="0" borderId="1" xfId="1" applyNumberFormat="1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9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44" fontId="0" fillId="3" borderId="1" xfId="0" applyNumberFormat="1" applyFill="1" applyBorder="1"/>
    <xf numFmtId="44" fontId="0" fillId="0" borderId="1" xfId="0" applyNumberFormat="1" applyBorder="1"/>
    <xf numFmtId="44" fontId="0" fillId="3" borderId="0" xfId="0" applyNumberFormat="1" applyFill="1"/>
    <xf numFmtId="0" fontId="0" fillId="0" borderId="1" xfId="0" applyFill="1" applyBorder="1"/>
    <xf numFmtId="0" fontId="2" fillId="0" borderId="1" xfId="0" applyFont="1" applyFill="1" applyBorder="1"/>
    <xf numFmtId="44" fontId="2" fillId="0" borderId="1" xfId="0" applyNumberFormat="1" applyFont="1" applyBorder="1"/>
    <xf numFmtId="44" fontId="0" fillId="2" borderId="1" xfId="0" applyNumberFormat="1" applyFill="1" applyBorder="1"/>
    <xf numFmtId="0" fontId="0" fillId="0" borderId="1" xfId="0" applyFill="1" applyBorder="1" applyAlignment="1">
      <alignment horizontal="center"/>
    </xf>
    <xf numFmtId="44" fontId="2" fillId="3" borderId="1" xfId="0" applyNumberFormat="1" applyFont="1" applyFill="1" applyBorder="1"/>
    <xf numFmtId="0" fontId="0" fillId="0" borderId="3" xfId="0" applyBorder="1" applyAlignment="1">
      <alignment horizontal="center"/>
    </xf>
    <xf numFmtId="44" fontId="0" fillId="0" borderId="3" xfId="1" applyFont="1" applyBorder="1"/>
    <xf numFmtId="44" fontId="0" fillId="0" borderId="1" xfId="1" applyFont="1" applyBorder="1" applyAlignment="1"/>
    <xf numFmtId="44" fontId="0" fillId="0" borderId="4" xfId="1" applyFont="1" applyBorder="1"/>
    <xf numFmtId="44" fontId="0" fillId="0" borderId="0" xfId="0" applyNumberFormat="1"/>
    <xf numFmtId="164" fontId="2" fillId="0" borderId="1" xfId="1" applyNumberFormat="1" applyFont="1" applyBorder="1"/>
    <xf numFmtId="164" fontId="2" fillId="0" borderId="1" xfId="0" applyNumberFormat="1" applyFont="1" applyBorder="1"/>
    <xf numFmtId="44" fontId="0" fillId="0" borderId="5" xfId="1" applyFont="1" applyBorder="1"/>
    <xf numFmtId="44" fontId="0" fillId="3" borderId="1" xfId="1" applyFont="1" applyFill="1" applyBorder="1"/>
    <xf numFmtId="164" fontId="0" fillId="4" borderId="1" xfId="1" applyNumberFormat="1" applyFont="1" applyFill="1" applyBorder="1"/>
    <xf numFmtId="0" fontId="0" fillId="0" borderId="6" xfId="0" applyFill="1" applyBorder="1"/>
    <xf numFmtId="164" fontId="0" fillId="4" borderId="0" xfId="1" applyNumberFormat="1" applyFont="1" applyFill="1"/>
    <xf numFmtId="164" fontId="0" fillId="0" borderId="0" xfId="0" applyNumberFormat="1"/>
    <xf numFmtId="164" fontId="0" fillId="0" borderId="1" xfId="1" applyNumberFormat="1" applyFont="1" applyFill="1" applyBorder="1"/>
    <xf numFmtId="0" fontId="2" fillId="3" borderId="1" xfId="0" applyFont="1" applyFill="1" applyBorder="1"/>
    <xf numFmtId="164" fontId="2" fillId="3" borderId="1" xfId="1" applyNumberFormat="1" applyFont="1" applyFill="1" applyBorder="1"/>
    <xf numFmtId="0" fontId="2" fillId="0" borderId="7" xfId="0" applyFont="1" applyBorder="1" applyAlignment="1">
      <alignment horizontal="center"/>
    </xf>
    <xf numFmtId="164" fontId="0" fillId="3" borderId="1" xfId="1" applyNumberFormat="1" applyFont="1" applyFill="1" applyBorder="1"/>
    <xf numFmtId="0" fontId="0" fillId="0" borderId="6" xfId="0" quotePrefix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73E7-200F-45E2-B927-512CB066C10F}">
  <dimension ref="A2:M94"/>
  <sheetViews>
    <sheetView showGridLines="0" tabSelected="1" topLeftCell="A12" workbookViewId="0">
      <selection activeCell="K62" sqref="K62"/>
    </sheetView>
  </sheetViews>
  <sheetFormatPr baseColWidth="10" defaultRowHeight="15" x14ac:dyDescent="0.25"/>
  <cols>
    <col min="1" max="1" width="23.7109375" bestFit="1" customWidth="1"/>
    <col min="2" max="2" width="14.140625" bestFit="1" customWidth="1"/>
    <col min="3" max="3" width="22.42578125" customWidth="1"/>
    <col min="4" max="4" width="14.28515625" bestFit="1" customWidth="1"/>
    <col min="5" max="5" width="13.7109375" bestFit="1" customWidth="1"/>
    <col min="6" max="6" width="12.5703125" bestFit="1" customWidth="1"/>
    <col min="7" max="7" width="13.7109375" bestFit="1" customWidth="1"/>
    <col min="8" max="8" width="10.140625" customWidth="1"/>
    <col min="9" max="9" width="23.7109375" bestFit="1" customWidth="1"/>
    <col min="11" max="11" width="15.7109375" bestFit="1" customWidth="1"/>
  </cols>
  <sheetData>
    <row r="2" spans="1:4" x14ac:dyDescent="0.25">
      <c r="A2" s="1" t="s">
        <v>0</v>
      </c>
      <c r="B2" s="2" t="s">
        <v>1</v>
      </c>
      <c r="C2" s="1" t="s">
        <v>2</v>
      </c>
      <c r="D2" s="2" t="s">
        <v>1</v>
      </c>
    </row>
    <row r="3" spans="1:4" x14ac:dyDescent="0.25">
      <c r="A3" s="3" t="s">
        <v>3</v>
      </c>
      <c r="B3" s="2"/>
      <c r="C3" s="3" t="s">
        <v>4</v>
      </c>
      <c r="D3" s="2"/>
    </row>
    <row r="4" spans="1:4" x14ac:dyDescent="0.25">
      <c r="A4" s="2" t="s">
        <v>5</v>
      </c>
      <c r="B4" s="2"/>
      <c r="C4" s="2" t="s">
        <v>6</v>
      </c>
      <c r="D4" s="4">
        <v>100000</v>
      </c>
    </row>
    <row r="5" spans="1:4" x14ac:dyDescent="0.25">
      <c r="A5" s="2" t="s">
        <v>7</v>
      </c>
      <c r="B5" s="4">
        <v>200000</v>
      </c>
      <c r="C5" s="2" t="s">
        <v>8</v>
      </c>
      <c r="D5" s="4">
        <v>26600</v>
      </c>
    </row>
    <row r="6" spans="1:4" x14ac:dyDescent="0.25">
      <c r="A6" s="2" t="s">
        <v>9</v>
      </c>
      <c r="B6" s="4">
        <v>50000</v>
      </c>
      <c r="C6" s="2"/>
      <c r="D6" s="4"/>
    </row>
    <row r="7" spans="1:4" x14ac:dyDescent="0.25">
      <c r="A7" s="2" t="s">
        <v>10</v>
      </c>
      <c r="B7" s="4">
        <v>152000</v>
      </c>
      <c r="C7" s="5" t="s">
        <v>11</v>
      </c>
      <c r="D7" s="4">
        <f>D4+D5</f>
        <v>126600</v>
      </c>
    </row>
    <row r="8" spans="1:4" x14ac:dyDescent="0.25">
      <c r="A8" s="5" t="s">
        <v>11</v>
      </c>
      <c r="B8" s="4">
        <f>SUM(B5:B7)</f>
        <v>402000</v>
      </c>
      <c r="C8" s="2"/>
      <c r="D8" s="4"/>
    </row>
    <row r="9" spans="1:4" x14ac:dyDescent="0.25">
      <c r="A9" s="2"/>
      <c r="B9" s="4"/>
      <c r="C9" s="3" t="s">
        <v>12</v>
      </c>
      <c r="D9" s="4"/>
    </row>
    <row r="10" spans="1:4" x14ac:dyDescent="0.25">
      <c r="A10" s="3" t="s">
        <v>13</v>
      </c>
      <c r="B10" s="4"/>
      <c r="C10" s="2" t="s">
        <v>14</v>
      </c>
      <c r="D10" s="4">
        <v>250000</v>
      </c>
    </row>
    <row r="11" spans="1:4" x14ac:dyDescent="0.25">
      <c r="A11" s="2" t="s">
        <v>15</v>
      </c>
      <c r="B11" s="4">
        <v>45000</v>
      </c>
      <c r="C11" s="2" t="s">
        <v>16</v>
      </c>
      <c r="D11" s="4">
        <v>59000</v>
      </c>
    </row>
    <row r="12" spans="1:4" x14ac:dyDescent="0.25">
      <c r="A12" s="2" t="s">
        <v>17</v>
      </c>
      <c r="B12" s="4">
        <v>33500</v>
      </c>
      <c r="C12" s="2" t="s">
        <v>18</v>
      </c>
      <c r="D12" s="4">
        <v>14900</v>
      </c>
    </row>
    <row r="13" spans="1:4" x14ac:dyDescent="0.25">
      <c r="A13" s="2"/>
      <c r="B13" s="4"/>
      <c r="C13" s="2" t="s">
        <v>19</v>
      </c>
      <c r="D13" s="4">
        <v>30000</v>
      </c>
    </row>
    <row r="14" spans="1:4" x14ac:dyDescent="0.25">
      <c r="A14" s="5" t="s">
        <v>20</v>
      </c>
      <c r="B14" s="4">
        <f>SUM(B11:B12)</f>
        <v>78500</v>
      </c>
      <c r="C14" s="5" t="s">
        <v>20</v>
      </c>
      <c r="D14" s="4">
        <f>SUM(D10:D13)</f>
        <v>353900</v>
      </c>
    </row>
    <row r="15" spans="1:4" x14ac:dyDescent="0.25">
      <c r="A15" s="2"/>
      <c r="B15" s="4"/>
      <c r="C15" s="2"/>
      <c r="D15" s="4"/>
    </row>
    <row r="16" spans="1:4" x14ac:dyDescent="0.25">
      <c r="A16" s="5" t="s">
        <v>21</v>
      </c>
      <c r="B16" s="4">
        <f>B14+B8</f>
        <v>480500</v>
      </c>
      <c r="C16" s="5" t="s">
        <v>21</v>
      </c>
      <c r="D16" s="4">
        <f>D14+D7</f>
        <v>480500</v>
      </c>
    </row>
    <row r="18" spans="1:11" x14ac:dyDescent="0.25">
      <c r="A18" t="s">
        <v>22</v>
      </c>
    </row>
    <row r="19" spans="1:11" x14ac:dyDescent="0.25">
      <c r="A19" t="s">
        <v>23</v>
      </c>
    </row>
    <row r="20" spans="1:11" x14ac:dyDescent="0.25">
      <c r="A20" t="s">
        <v>24</v>
      </c>
    </row>
    <row r="21" spans="1:11" x14ac:dyDescent="0.25">
      <c r="A21" t="s">
        <v>25</v>
      </c>
    </row>
    <row r="22" spans="1:11" x14ac:dyDescent="0.25">
      <c r="A22" t="s">
        <v>26</v>
      </c>
      <c r="F22" s="6" t="s">
        <v>27</v>
      </c>
      <c r="G22" s="6"/>
      <c r="H22" s="6"/>
    </row>
    <row r="23" spans="1:11" x14ac:dyDescent="0.25">
      <c r="A23" t="s">
        <v>28</v>
      </c>
      <c r="F23" s="7" t="s">
        <v>29</v>
      </c>
      <c r="G23" s="7" t="s">
        <v>30</v>
      </c>
      <c r="H23" s="7" t="s">
        <v>31</v>
      </c>
    </row>
    <row r="24" spans="1:11" x14ac:dyDescent="0.25">
      <c r="F24" s="2">
        <v>180</v>
      </c>
      <c r="G24" s="2">
        <v>200</v>
      </c>
      <c r="H24" s="2">
        <v>170</v>
      </c>
    </row>
    <row r="25" spans="1:11" x14ac:dyDescent="0.25">
      <c r="A25" t="s">
        <v>32</v>
      </c>
      <c r="B25">
        <v>720</v>
      </c>
    </row>
    <row r="26" spans="1:11" x14ac:dyDescent="0.25">
      <c r="A26" t="s">
        <v>33</v>
      </c>
      <c r="B26">
        <v>215</v>
      </c>
      <c r="I26" t="s">
        <v>34</v>
      </c>
      <c r="J26">
        <v>5200</v>
      </c>
    </row>
    <row r="27" spans="1:11" x14ac:dyDescent="0.25">
      <c r="I27" t="s">
        <v>35</v>
      </c>
      <c r="J27">
        <v>60000</v>
      </c>
      <c r="K27" t="s">
        <v>36</v>
      </c>
    </row>
    <row r="28" spans="1:11" x14ac:dyDescent="0.25">
      <c r="A28" s="6" t="s">
        <v>37</v>
      </c>
      <c r="B28" s="6"/>
      <c r="C28" s="6"/>
      <c r="D28" s="6"/>
      <c r="E28" s="8" t="s">
        <v>38</v>
      </c>
      <c r="I28" t="s">
        <v>39</v>
      </c>
      <c r="J28" s="9">
        <v>0.4</v>
      </c>
    </row>
    <row r="29" spans="1:11" x14ac:dyDescent="0.25">
      <c r="A29" s="2"/>
      <c r="B29" s="7" t="s">
        <v>29</v>
      </c>
      <c r="C29" s="7" t="s">
        <v>30</v>
      </c>
      <c r="D29" s="7" t="s">
        <v>31</v>
      </c>
      <c r="E29" s="8"/>
      <c r="F29" s="10"/>
      <c r="G29" s="11"/>
      <c r="I29" t="s">
        <v>40</v>
      </c>
      <c r="J29">
        <v>5000</v>
      </c>
    </row>
    <row r="30" spans="1:11" x14ac:dyDescent="0.25">
      <c r="A30" s="2" t="s">
        <v>41</v>
      </c>
      <c r="B30" s="2">
        <f>F24</f>
        <v>180</v>
      </c>
      <c r="C30" s="2">
        <f t="shared" ref="C30:D30" si="0">G24</f>
        <v>200</v>
      </c>
      <c r="D30" s="2">
        <f t="shared" si="0"/>
        <v>170</v>
      </c>
      <c r="E30" s="12"/>
    </row>
    <row r="31" spans="1:11" x14ac:dyDescent="0.25">
      <c r="A31" s="2" t="s">
        <v>42</v>
      </c>
      <c r="B31" s="4">
        <f>B30*$B$25</f>
        <v>129600</v>
      </c>
      <c r="C31" s="4">
        <f t="shared" ref="C31:D31" si="1">C30*$B$25</f>
        <v>144000</v>
      </c>
      <c r="D31" s="4">
        <f t="shared" si="1"/>
        <v>122400</v>
      </c>
      <c r="E31" s="13">
        <f>SUM(B31:D31)</f>
        <v>396000</v>
      </c>
      <c r="I31" t="s">
        <v>43</v>
      </c>
      <c r="J31" s="9">
        <v>0.35</v>
      </c>
      <c r="K31" t="s">
        <v>44</v>
      </c>
    </row>
    <row r="32" spans="1:11" x14ac:dyDescent="0.25">
      <c r="A32" s="2" t="s">
        <v>45</v>
      </c>
      <c r="B32" s="4">
        <f>B31*1.2</f>
        <v>155520</v>
      </c>
      <c r="C32" s="14">
        <f t="shared" ref="C32:D32" si="2">C31*1.2</f>
        <v>172800</v>
      </c>
      <c r="D32" s="14">
        <f t="shared" si="2"/>
        <v>146880</v>
      </c>
      <c r="E32" s="12"/>
      <c r="J32" s="9">
        <v>0.5</v>
      </c>
      <c r="K32" t="s">
        <v>46</v>
      </c>
    </row>
    <row r="33" spans="1:11" x14ac:dyDescent="0.25">
      <c r="J33" s="9">
        <v>0.15</v>
      </c>
      <c r="K33" t="s">
        <v>47</v>
      </c>
    </row>
    <row r="34" spans="1:11" x14ac:dyDescent="0.25">
      <c r="A34" s="15" t="s">
        <v>48</v>
      </c>
      <c r="B34" s="15"/>
      <c r="C34" s="15"/>
      <c r="D34" s="15"/>
      <c r="E34" s="8" t="s">
        <v>38</v>
      </c>
    </row>
    <row r="35" spans="1:11" x14ac:dyDescent="0.25">
      <c r="A35" s="2"/>
      <c r="B35" s="7" t="s">
        <v>29</v>
      </c>
      <c r="C35" s="7" t="s">
        <v>30</v>
      </c>
      <c r="D35" s="7" t="s">
        <v>31</v>
      </c>
      <c r="E35" s="8"/>
      <c r="I35" t="s">
        <v>49</v>
      </c>
      <c r="J35" s="9">
        <v>0.3</v>
      </c>
      <c r="K35" t="s">
        <v>46</v>
      </c>
    </row>
    <row r="36" spans="1:11" x14ac:dyDescent="0.25">
      <c r="A36" s="2" t="s">
        <v>41</v>
      </c>
      <c r="B36" s="2">
        <f>B30</f>
        <v>180</v>
      </c>
      <c r="C36" s="2">
        <f t="shared" ref="C36:D36" si="3">C30</f>
        <v>200</v>
      </c>
      <c r="D36" s="2">
        <f t="shared" si="3"/>
        <v>170</v>
      </c>
      <c r="E36" s="12"/>
      <c r="J36" s="9">
        <v>0.7</v>
      </c>
      <c r="K36" t="s">
        <v>47</v>
      </c>
    </row>
    <row r="37" spans="1:11" x14ac:dyDescent="0.25">
      <c r="A37" s="2" t="s">
        <v>50</v>
      </c>
      <c r="B37" s="4">
        <f>+B36*$B$26</f>
        <v>38700</v>
      </c>
      <c r="C37" s="4">
        <f t="shared" ref="C37:D37" si="4">+C36*$B$26</f>
        <v>43000</v>
      </c>
      <c r="D37" s="4">
        <f t="shared" si="4"/>
        <v>36550</v>
      </c>
      <c r="E37" s="13">
        <f>SUM(B37:D37)</f>
        <v>118250</v>
      </c>
    </row>
    <row r="38" spans="1:11" x14ac:dyDescent="0.25">
      <c r="A38" s="2" t="s">
        <v>51</v>
      </c>
      <c r="B38" s="14">
        <f>B37*1.2</f>
        <v>46440</v>
      </c>
      <c r="C38" s="14">
        <f t="shared" ref="C38:D38" si="5">C37*1.2</f>
        <v>51600</v>
      </c>
      <c r="D38" s="14">
        <f t="shared" si="5"/>
        <v>43860</v>
      </c>
      <c r="E38" s="12"/>
    </row>
    <row r="40" spans="1:11" x14ac:dyDescent="0.25">
      <c r="A40" s="15" t="s">
        <v>52</v>
      </c>
      <c r="B40" s="15"/>
      <c r="C40" s="15"/>
      <c r="D40" s="15"/>
      <c r="E40" s="8" t="s">
        <v>38</v>
      </c>
    </row>
    <row r="41" spans="1:11" x14ac:dyDescent="0.25">
      <c r="A41" s="2"/>
      <c r="B41" s="7" t="str">
        <f>B35</f>
        <v>J</v>
      </c>
      <c r="C41" s="7" t="str">
        <f t="shared" ref="C41:D41" si="6">C35</f>
        <v>F</v>
      </c>
      <c r="D41" s="7" t="str">
        <f t="shared" si="6"/>
        <v>M</v>
      </c>
      <c r="E41" s="8"/>
    </row>
    <row r="42" spans="1:11" x14ac:dyDescent="0.25">
      <c r="A42" s="2" t="s">
        <v>53</v>
      </c>
      <c r="B42" s="16">
        <v>5200</v>
      </c>
      <c r="C42" s="16">
        <f t="shared" ref="C42:D45" si="7">B42</f>
        <v>5200</v>
      </c>
      <c r="D42" s="16">
        <f t="shared" si="7"/>
        <v>5200</v>
      </c>
      <c r="E42" s="17">
        <f>SUM(B42:D42)</f>
        <v>15600</v>
      </c>
      <c r="G42" t="s">
        <v>54</v>
      </c>
    </row>
    <row r="43" spans="1:11" x14ac:dyDescent="0.25">
      <c r="A43" s="2" t="s">
        <v>55</v>
      </c>
      <c r="B43" s="16">
        <v>48000</v>
      </c>
      <c r="C43" s="16">
        <f t="shared" si="7"/>
        <v>48000</v>
      </c>
      <c r="D43" s="16">
        <f t="shared" si="7"/>
        <v>48000</v>
      </c>
      <c r="E43" s="18">
        <f t="shared" ref="E43:E45" si="8">SUM(B43:D43)</f>
        <v>144000</v>
      </c>
      <c r="G43" s="19">
        <f>E43+E44</f>
        <v>252000</v>
      </c>
    </row>
    <row r="44" spans="1:11" x14ac:dyDescent="0.25">
      <c r="A44" s="2" t="s">
        <v>56</v>
      </c>
      <c r="B44" s="18">
        <v>36000</v>
      </c>
      <c r="C44" s="18">
        <f t="shared" si="7"/>
        <v>36000</v>
      </c>
      <c r="D44" s="18">
        <f t="shared" si="7"/>
        <v>36000</v>
      </c>
      <c r="E44" s="18">
        <f t="shared" si="8"/>
        <v>108000</v>
      </c>
    </row>
    <row r="45" spans="1:11" x14ac:dyDescent="0.25">
      <c r="A45" s="20" t="s">
        <v>57</v>
      </c>
      <c r="B45" s="16">
        <v>5000</v>
      </c>
      <c r="C45" s="16">
        <f t="shared" si="7"/>
        <v>5000</v>
      </c>
      <c r="D45" s="16">
        <f t="shared" si="7"/>
        <v>5000</v>
      </c>
      <c r="E45" s="17">
        <f t="shared" si="8"/>
        <v>15000</v>
      </c>
    </row>
    <row r="46" spans="1:11" x14ac:dyDescent="0.25">
      <c r="A46" s="21" t="s">
        <v>38</v>
      </c>
      <c r="B46" s="22">
        <f>SUM(B42:B45)</f>
        <v>94200</v>
      </c>
      <c r="C46" s="22">
        <f t="shared" ref="C46:D46" si="9">SUM(C42:C45)</f>
        <v>94200</v>
      </c>
      <c r="D46" s="22">
        <f t="shared" si="9"/>
        <v>94200</v>
      </c>
      <c r="E46" s="23"/>
    </row>
    <row r="48" spans="1:11" x14ac:dyDescent="0.25">
      <c r="A48" s="15" t="s">
        <v>58</v>
      </c>
      <c r="B48" s="15"/>
      <c r="C48" s="15"/>
      <c r="D48" s="15"/>
    </row>
    <row r="49" spans="1:5" x14ac:dyDescent="0.25">
      <c r="A49" s="2"/>
      <c r="B49" s="7" t="str">
        <f>B41</f>
        <v>J</v>
      </c>
      <c r="C49" s="7" t="str">
        <f t="shared" ref="C49:D49" si="10">C41</f>
        <v>F</v>
      </c>
      <c r="D49" s="7" t="str">
        <f t="shared" si="10"/>
        <v>M</v>
      </c>
    </row>
    <row r="50" spans="1:5" x14ac:dyDescent="0.25">
      <c r="A50" s="2" t="s">
        <v>59</v>
      </c>
      <c r="B50" s="16">
        <f>B32-B31</f>
        <v>25920</v>
      </c>
      <c r="C50" s="16">
        <f t="shared" ref="C50:D50" si="11">C32-C31</f>
        <v>28800</v>
      </c>
      <c r="D50" s="16">
        <f t="shared" si="11"/>
        <v>24480</v>
      </c>
    </row>
    <row r="51" spans="1:5" x14ac:dyDescent="0.25">
      <c r="A51" s="2" t="s">
        <v>60</v>
      </c>
      <c r="B51" s="16">
        <f>(B38-B37)+(B42*0.2)+(B45*0.2)</f>
        <v>9780</v>
      </c>
      <c r="C51" s="16">
        <f t="shared" ref="C51:D51" si="12">(C38-C37)+(C42*0.2)+(C45*0.2)</f>
        <v>10640</v>
      </c>
      <c r="D51" s="16">
        <f t="shared" si="12"/>
        <v>9350</v>
      </c>
    </row>
    <row r="52" spans="1:5" x14ac:dyDescent="0.25">
      <c r="A52" s="2" t="s">
        <v>61</v>
      </c>
      <c r="B52" s="18">
        <f>B50-B51</f>
        <v>16140</v>
      </c>
      <c r="C52" s="18">
        <f t="shared" ref="C52:D52" si="13">C50-C51</f>
        <v>18160</v>
      </c>
      <c r="D52" s="18">
        <f t="shared" si="13"/>
        <v>15130</v>
      </c>
    </row>
    <row r="55" spans="1:5" x14ac:dyDescent="0.25">
      <c r="A55" s="15" t="s">
        <v>62</v>
      </c>
      <c r="B55" s="15"/>
      <c r="C55" s="15"/>
      <c r="D55" s="15"/>
      <c r="E55" s="15"/>
    </row>
    <row r="56" spans="1:5" x14ac:dyDescent="0.25">
      <c r="A56" s="2"/>
      <c r="B56" s="7" t="s">
        <v>29</v>
      </c>
      <c r="C56" s="7" t="s">
        <v>30</v>
      </c>
      <c r="D56" s="7" t="s">
        <v>31</v>
      </c>
      <c r="E56" s="24" t="s">
        <v>63</v>
      </c>
    </row>
    <row r="57" spans="1:5" x14ac:dyDescent="0.25">
      <c r="A57" s="2" t="s">
        <v>64</v>
      </c>
      <c r="B57" s="16">
        <v>30000</v>
      </c>
      <c r="C57" s="16">
        <v>15000</v>
      </c>
      <c r="D57" s="16"/>
      <c r="E57" s="2"/>
    </row>
    <row r="58" spans="1:5" x14ac:dyDescent="0.25">
      <c r="A58" s="16" t="s">
        <v>65</v>
      </c>
      <c r="B58" s="16">
        <f>B32*$J$31</f>
        <v>54432</v>
      </c>
      <c r="C58" s="16">
        <f t="shared" ref="C58:D58" si="14">C32*$J$31</f>
        <v>60479.999999999993</v>
      </c>
      <c r="D58" s="16">
        <f t="shared" si="14"/>
        <v>51408</v>
      </c>
      <c r="E58" s="2"/>
    </row>
    <row r="59" spans="1:5" x14ac:dyDescent="0.25">
      <c r="A59" s="16" t="s">
        <v>66</v>
      </c>
      <c r="B59" s="2"/>
      <c r="C59" s="16">
        <f>B32*$J$32</f>
        <v>77760</v>
      </c>
      <c r="D59" s="16">
        <f t="shared" ref="D59:E59" si="15">C32*$J$32</f>
        <v>86400</v>
      </c>
      <c r="E59" s="16">
        <f t="shared" si="15"/>
        <v>73440</v>
      </c>
    </row>
    <row r="60" spans="1:5" x14ac:dyDescent="0.25">
      <c r="A60" s="16" t="s">
        <v>67</v>
      </c>
      <c r="B60" s="2"/>
      <c r="C60" s="16"/>
      <c r="D60" s="16">
        <f>B32*$J$33</f>
        <v>23328</v>
      </c>
      <c r="E60" s="16">
        <f>(C32+D32)*J33</f>
        <v>47952</v>
      </c>
    </row>
    <row r="61" spans="1:5" x14ac:dyDescent="0.25">
      <c r="A61" s="21" t="s">
        <v>38</v>
      </c>
      <c r="B61" s="22">
        <f>SUM(B57:B60)</f>
        <v>84432</v>
      </c>
      <c r="C61" s="22">
        <f t="shared" ref="C61:E61" si="16">SUM(C57:C60)</f>
        <v>153240</v>
      </c>
      <c r="D61" s="22">
        <f t="shared" si="16"/>
        <v>161136</v>
      </c>
      <c r="E61" s="25">
        <f t="shared" si="16"/>
        <v>121392</v>
      </c>
    </row>
    <row r="62" spans="1:5" ht="5.45" customHeight="1" x14ac:dyDescent="0.25"/>
    <row r="63" spans="1:5" ht="5.45" customHeight="1" x14ac:dyDescent="0.25"/>
    <row r="64" spans="1:5" x14ac:dyDescent="0.25">
      <c r="A64" s="15" t="s">
        <v>68</v>
      </c>
      <c r="B64" s="15"/>
      <c r="C64" s="15"/>
      <c r="D64" s="15"/>
      <c r="E64" s="15"/>
    </row>
    <row r="65" spans="1:13" x14ac:dyDescent="0.25">
      <c r="A65" s="2"/>
      <c r="B65" s="7" t="s">
        <v>29</v>
      </c>
      <c r="C65" s="7" t="s">
        <v>30</v>
      </c>
      <c r="D65" s="26" t="s">
        <v>31</v>
      </c>
      <c r="E65" s="24" t="s">
        <v>69</v>
      </c>
    </row>
    <row r="66" spans="1:13" x14ac:dyDescent="0.25">
      <c r="A66" s="2" t="s">
        <v>70</v>
      </c>
      <c r="B66" s="16">
        <v>19000</v>
      </c>
      <c r="C66" s="16">
        <v>40000</v>
      </c>
      <c r="D66" s="27"/>
      <c r="E66" s="2"/>
      <c r="I66" s="15" t="s">
        <v>71</v>
      </c>
      <c r="J66" s="15"/>
      <c r="K66" s="15"/>
      <c r="L66" s="15"/>
    </row>
    <row r="67" spans="1:13" x14ac:dyDescent="0.25">
      <c r="A67" s="28" t="s">
        <v>72</v>
      </c>
      <c r="B67" s="16">
        <f>D13</f>
        <v>30000</v>
      </c>
      <c r="C67" s="16"/>
      <c r="D67" s="29"/>
      <c r="E67" s="2"/>
      <c r="I67" s="6" t="s">
        <v>73</v>
      </c>
      <c r="J67" s="6"/>
      <c r="K67" s="6" t="s">
        <v>74</v>
      </c>
      <c r="L67" s="6"/>
    </row>
    <row r="68" spans="1:13" x14ac:dyDescent="0.25">
      <c r="A68" s="16" t="s">
        <v>75</v>
      </c>
      <c r="B68" s="18"/>
      <c r="C68" s="18">
        <f>B38*$J$35</f>
        <v>13932</v>
      </c>
      <c r="D68" s="30">
        <f t="shared" ref="D68:E68" si="17">C38*$J$35</f>
        <v>15480</v>
      </c>
      <c r="E68" s="17">
        <f t="shared" si="17"/>
        <v>13158</v>
      </c>
      <c r="I68" s="2" t="s">
        <v>76</v>
      </c>
      <c r="J68" s="31">
        <f>E37</f>
        <v>118250</v>
      </c>
      <c r="K68" s="2" t="s">
        <v>77</v>
      </c>
      <c r="L68" s="32">
        <f>E31</f>
        <v>396000</v>
      </c>
    </row>
    <row r="69" spans="1:13" x14ac:dyDescent="0.25">
      <c r="A69" s="2" t="s">
        <v>78</v>
      </c>
      <c r="B69" s="16"/>
      <c r="C69" s="2"/>
      <c r="D69" s="33">
        <f>B38*$J$36</f>
        <v>32507.999999999996</v>
      </c>
      <c r="E69" s="34">
        <f>(C38+D38)*$J$36</f>
        <v>66822</v>
      </c>
      <c r="F69" s="30">
        <f>E69+E68</f>
        <v>79980</v>
      </c>
      <c r="I69" s="2" t="s">
        <v>34</v>
      </c>
      <c r="J69" s="31">
        <f>E42</f>
        <v>15600</v>
      </c>
      <c r="K69" s="2"/>
      <c r="L69" s="2"/>
    </row>
    <row r="70" spans="1:13" x14ac:dyDescent="0.25">
      <c r="A70" s="2" t="s">
        <v>34</v>
      </c>
      <c r="B70" s="16">
        <f>B42*1.2</f>
        <v>6240</v>
      </c>
      <c r="C70" s="16">
        <f t="shared" ref="C70:D70" si="18">C42*1.2</f>
        <v>6240</v>
      </c>
      <c r="D70" s="16">
        <f t="shared" si="18"/>
        <v>6240</v>
      </c>
      <c r="E70" s="2"/>
      <c r="I70" s="2" t="s">
        <v>79</v>
      </c>
      <c r="J70" s="31">
        <f>E45</f>
        <v>15000</v>
      </c>
      <c r="K70" s="2"/>
      <c r="L70" s="2"/>
    </row>
    <row r="71" spans="1:13" x14ac:dyDescent="0.25">
      <c r="A71" s="2" t="s">
        <v>80</v>
      </c>
      <c r="B71" s="16"/>
      <c r="C71" s="16">
        <f>B45*1.2</f>
        <v>6000</v>
      </c>
      <c r="D71" s="16">
        <f t="shared" ref="D71:E71" si="19">C45*1.2</f>
        <v>6000</v>
      </c>
      <c r="E71" s="34">
        <f t="shared" si="19"/>
        <v>6000</v>
      </c>
      <c r="I71" s="2" t="s">
        <v>54</v>
      </c>
      <c r="J71" s="31">
        <f>G43</f>
        <v>252000</v>
      </c>
      <c r="K71" s="2"/>
      <c r="L71" s="2"/>
    </row>
    <row r="72" spans="1:13" x14ac:dyDescent="0.25">
      <c r="A72" s="2" t="s">
        <v>81</v>
      </c>
      <c r="B72" s="16">
        <f>J27-(J27*0.2)</f>
        <v>48000</v>
      </c>
      <c r="C72" s="16">
        <f>B72</f>
        <v>48000</v>
      </c>
      <c r="D72" s="27">
        <f>C72</f>
        <v>48000</v>
      </c>
      <c r="E72" s="2"/>
      <c r="I72" s="2" t="s">
        <v>82</v>
      </c>
      <c r="J72" s="35">
        <v>2500</v>
      </c>
      <c r="K72" s="2"/>
      <c r="L72" s="2"/>
    </row>
    <row r="73" spans="1:13" x14ac:dyDescent="0.25">
      <c r="A73" s="2" t="s">
        <v>83</v>
      </c>
      <c r="B73" s="16"/>
      <c r="C73" s="16">
        <f>B44</f>
        <v>36000</v>
      </c>
      <c r="D73" s="16">
        <f t="shared" ref="D73:E73" si="20">C44</f>
        <v>36000</v>
      </c>
      <c r="E73" s="34">
        <f t="shared" si="20"/>
        <v>36000</v>
      </c>
      <c r="I73" s="36" t="s">
        <v>84</v>
      </c>
      <c r="J73" s="37">
        <v>8750</v>
      </c>
      <c r="M73" s="38"/>
    </row>
    <row r="74" spans="1:13" x14ac:dyDescent="0.25">
      <c r="A74" s="2"/>
      <c r="B74" s="16"/>
      <c r="C74" s="16"/>
      <c r="D74" s="16"/>
      <c r="E74" s="2"/>
      <c r="I74" s="2" t="s">
        <v>85</v>
      </c>
      <c r="J74" s="39">
        <f>SUM(J68:J73)</f>
        <v>412100</v>
      </c>
      <c r="K74" s="4" t="s">
        <v>86</v>
      </c>
      <c r="L74" s="4">
        <f>SUM(L68:L72)</f>
        <v>396000</v>
      </c>
    </row>
    <row r="75" spans="1:13" x14ac:dyDescent="0.25">
      <c r="A75" s="2" t="s">
        <v>87</v>
      </c>
      <c r="B75" s="16">
        <f>+D12</f>
        <v>14900</v>
      </c>
      <c r="C75" s="16">
        <f>B52</f>
        <v>16140</v>
      </c>
      <c r="D75" s="27">
        <f t="shared" ref="D75:E76" si="21">C52</f>
        <v>18160</v>
      </c>
      <c r="E75" s="34">
        <f t="shared" si="21"/>
        <v>15130</v>
      </c>
      <c r="I75" s="40" t="s">
        <v>88</v>
      </c>
      <c r="J75" s="41">
        <f>L74-J74</f>
        <v>-16100</v>
      </c>
    </row>
    <row r="76" spans="1:13" x14ac:dyDescent="0.25">
      <c r="A76" s="2" t="s">
        <v>89</v>
      </c>
      <c r="B76" s="16"/>
      <c r="C76" s="16"/>
      <c r="D76" s="27">
        <v>32500</v>
      </c>
      <c r="E76" s="16">
        <f t="shared" si="21"/>
        <v>0</v>
      </c>
    </row>
    <row r="77" spans="1:13" x14ac:dyDescent="0.25">
      <c r="A77" s="21" t="s">
        <v>38</v>
      </c>
      <c r="B77" s="22">
        <f>SUM(B66:B76)</f>
        <v>118140</v>
      </c>
      <c r="C77" s="22">
        <f t="shared" ref="C77:E77" si="22">SUM(C66:C76)</f>
        <v>166312</v>
      </c>
      <c r="D77" s="22">
        <f t="shared" si="22"/>
        <v>194888</v>
      </c>
      <c r="E77" s="22">
        <f t="shared" si="22"/>
        <v>137110</v>
      </c>
      <c r="I77" s="1" t="s">
        <v>0</v>
      </c>
      <c r="J77" s="2" t="s">
        <v>1</v>
      </c>
      <c r="K77" s="1" t="s">
        <v>2</v>
      </c>
      <c r="L77" s="2" t="s">
        <v>1</v>
      </c>
    </row>
    <row r="78" spans="1:13" x14ac:dyDescent="0.25">
      <c r="I78" s="3" t="s">
        <v>3</v>
      </c>
      <c r="J78" s="2"/>
      <c r="K78" s="3" t="s">
        <v>4</v>
      </c>
      <c r="L78" s="2"/>
    </row>
    <row r="79" spans="1:13" x14ac:dyDescent="0.25">
      <c r="I79" s="2" t="s">
        <v>7</v>
      </c>
      <c r="J79" s="4">
        <f>B5</f>
        <v>200000</v>
      </c>
      <c r="K79" s="2" t="s">
        <v>6</v>
      </c>
      <c r="L79" s="4">
        <v>100000</v>
      </c>
    </row>
    <row r="80" spans="1:13" x14ac:dyDescent="0.25">
      <c r="A80" s="42" t="s">
        <v>90</v>
      </c>
      <c r="B80" s="42"/>
      <c r="C80" s="42"/>
      <c r="D80" s="42"/>
      <c r="I80" s="2" t="s">
        <v>9</v>
      </c>
      <c r="J80" s="4">
        <f t="shared" ref="J80:J81" si="23">B6</f>
        <v>50000</v>
      </c>
      <c r="K80" s="2" t="s">
        <v>8</v>
      </c>
      <c r="L80" s="4">
        <v>26600</v>
      </c>
    </row>
    <row r="81" spans="1:13" x14ac:dyDescent="0.25">
      <c r="A81" s="2"/>
      <c r="B81" s="7" t="s">
        <v>29</v>
      </c>
      <c r="C81" s="7" t="s">
        <v>30</v>
      </c>
      <c r="D81" s="7" t="s">
        <v>31</v>
      </c>
      <c r="I81" s="2" t="s">
        <v>10</v>
      </c>
      <c r="J81" s="4">
        <f t="shared" si="23"/>
        <v>152000</v>
      </c>
      <c r="K81" s="2" t="s">
        <v>91</v>
      </c>
      <c r="L81" s="43">
        <f>J75</f>
        <v>-16100</v>
      </c>
    </row>
    <row r="82" spans="1:13" x14ac:dyDescent="0.25">
      <c r="A82" s="2" t="s">
        <v>92</v>
      </c>
      <c r="B82" s="16">
        <f>B12</f>
        <v>33500</v>
      </c>
      <c r="C82" s="16">
        <f>B85</f>
        <v>-208</v>
      </c>
      <c r="D82" s="16">
        <f t="shared" ref="D82" si="24">C85</f>
        <v>-13280</v>
      </c>
      <c r="I82" s="44" t="s">
        <v>93</v>
      </c>
      <c r="J82" s="38">
        <f>-J73</f>
        <v>-8750</v>
      </c>
      <c r="K82" s="5" t="s">
        <v>11</v>
      </c>
      <c r="L82" s="4">
        <f>L79+L80+L81</f>
        <v>110500</v>
      </c>
    </row>
    <row r="83" spans="1:13" x14ac:dyDescent="0.25">
      <c r="A83" s="28" t="s">
        <v>94</v>
      </c>
      <c r="B83" s="16">
        <f>B61</f>
        <v>84432</v>
      </c>
      <c r="C83" s="16">
        <f t="shared" ref="C83:D83" si="25">C61</f>
        <v>153240</v>
      </c>
      <c r="D83" s="16">
        <f t="shared" si="25"/>
        <v>161136</v>
      </c>
      <c r="I83" s="5" t="s">
        <v>11</v>
      </c>
      <c r="J83" s="4">
        <f>SUM(J79:J82)</f>
        <v>393250</v>
      </c>
      <c r="K83" s="2"/>
      <c r="L83" s="4"/>
    </row>
    <row r="84" spans="1:13" x14ac:dyDescent="0.25">
      <c r="A84" s="16" t="s">
        <v>95</v>
      </c>
      <c r="B84" s="18">
        <f>B77</f>
        <v>118140</v>
      </c>
      <c r="C84" s="18">
        <f t="shared" ref="C84:D84" si="26">C77</f>
        <v>166312</v>
      </c>
      <c r="D84" s="18">
        <f t="shared" si="26"/>
        <v>194888</v>
      </c>
      <c r="I84" s="2"/>
      <c r="J84" s="4"/>
      <c r="K84" s="3" t="s">
        <v>12</v>
      </c>
      <c r="L84" s="4"/>
    </row>
    <row r="85" spans="1:13" x14ac:dyDescent="0.25">
      <c r="A85" s="2" t="s">
        <v>96</v>
      </c>
      <c r="B85" s="16">
        <f>B82+B83-B84</f>
        <v>-208</v>
      </c>
      <c r="C85" s="16">
        <f t="shared" ref="C85:D85" si="27">C82+C83-C84</f>
        <v>-13280</v>
      </c>
      <c r="D85" s="34">
        <f t="shared" si="27"/>
        <v>-47032</v>
      </c>
      <c r="E85" s="30"/>
      <c r="I85" s="3" t="s">
        <v>13</v>
      </c>
      <c r="J85" s="4"/>
      <c r="K85" s="2" t="s">
        <v>14</v>
      </c>
      <c r="L85" s="43">
        <f>250000-30000</f>
        <v>220000</v>
      </c>
    </row>
    <row r="86" spans="1:13" x14ac:dyDescent="0.25">
      <c r="I86" s="2" t="s">
        <v>15</v>
      </c>
      <c r="J86" s="43">
        <f>E61</f>
        <v>121392</v>
      </c>
      <c r="K86" s="2" t="s">
        <v>16</v>
      </c>
      <c r="L86" s="43">
        <f>F69+6000</f>
        <v>85980</v>
      </c>
    </row>
    <row r="87" spans="1:13" x14ac:dyDescent="0.25">
      <c r="I87" s="2"/>
      <c r="J87" s="4"/>
      <c r="K87" s="2" t="s">
        <v>18</v>
      </c>
      <c r="L87" s="43">
        <f>E75</f>
        <v>15130</v>
      </c>
    </row>
    <row r="88" spans="1:13" x14ac:dyDescent="0.25">
      <c r="G88">
        <f>530742-514642</f>
        <v>16100</v>
      </c>
      <c r="I88" s="2"/>
      <c r="J88" s="4"/>
      <c r="K88" s="2" t="s">
        <v>19</v>
      </c>
      <c r="L88" s="43">
        <v>36000</v>
      </c>
    </row>
    <row r="89" spans="1:13" x14ac:dyDescent="0.25">
      <c r="I89" s="2"/>
      <c r="J89" s="4"/>
      <c r="K89" s="2" t="s">
        <v>17</v>
      </c>
      <c r="L89" s="43">
        <f>-D85</f>
        <v>47032</v>
      </c>
    </row>
    <row r="90" spans="1:13" x14ac:dyDescent="0.25">
      <c r="I90" s="5" t="s">
        <v>20</v>
      </c>
      <c r="J90" s="4">
        <f>SUM(J86:J87)</f>
        <v>121392</v>
      </c>
      <c r="K90" s="5" t="s">
        <v>20</v>
      </c>
      <c r="L90" s="4">
        <f>SUM(L85:L89)</f>
        <v>404142</v>
      </c>
    </row>
    <row r="91" spans="1:13" x14ac:dyDescent="0.25">
      <c r="I91" s="2"/>
      <c r="J91" s="4"/>
      <c r="K91" s="2"/>
      <c r="L91" s="4"/>
    </row>
    <row r="92" spans="1:13" x14ac:dyDescent="0.25">
      <c r="I92" s="5" t="s">
        <v>21</v>
      </c>
      <c r="J92" s="4">
        <f>J90+J83</f>
        <v>514642</v>
      </c>
      <c r="K92" s="5" t="s">
        <v>21</v>
      </c>
      <c r="L92" s="4">
        <f>L90+L82</f>
        <v>514642</v>
      </c>
      <c r="M92" s="38"/>
    </row>
    <row r="94" spans="1:13" x14ac:dyDescent="0.25">
      <c r="L94" s="38"/>
    </row>
  </sheetData>
  <mergeCells count="14">
    <mergeCell ref="A80:D80"/>
    <mergeCell ref="A48:D48"/>
    <mergeCell ref="A55:E55"/>
    <mergeCell ref="A64:E64"/>
    <mergeCell ref="I66:L66"/>
    <mergeCell ref="I67:J67"/>
    <mergeCell ref="K67:L67"/>
    <mergeCell ref="F22:H22"/>
    <mergeCell ref="A28:D28"/>
    <mergeCell ref="E28:E29"/>
    <mergeCell ref="A34:D34"/>
    <mergeCell ref="E34:E35"/>
    <mergeCell ref="A40:D40"/>
    <mergeCell ref="E40:E4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2021-02-28T13:02:30Z</dcterms:created>
  <dcterms:modified xsi:type="dcterms:W3CDTF">2021-02-28T13:04:55Z</dcterms:modified>
</cp:coreProperties>
</file>