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\Cours BUT3\CG2P\R5CG2P11\2025 2026\"/>
    </mc:Choice>
  </mc:AlternateContent>
  <xr:revisionPtr revIDLastSave="0" documentId="13_ncr:1_{BE8695A5-F1A0-4D10-8B7F-1937CCCB730C}" xr6:coauthVersionLast="36" xr6:coauthVersionMax="47" xr10:uidLastSave="{00000000-0000-0000-0000-000000000000}"/>
  <bookViews>
    <workbookView xWindow="0" yWindow="-120" windowWidth="15360" windowHeight="6060" firstSheet="5" activeTab="16" xr2:uid="{00000000-000D-0000-FFFF-FFFF00000000}"/>
  </bookViews>
  <sheets>
    <sheet name="Exo 1" sheetId="27" r:id="rId1"/>
    <sheet name="Exo 2" sheetId="28" r:id="rId2"/>
    <sheet name="Exo 3" sheetId="12" r:id="rId3"/>
    <sheet name="Exo 4" sheetId="11" r:id="rId4"/>
    <sheet name="Exo 5" sheetId="13" r:id="rId5"/>
    <sheet name="Exo 6" sheetId="14" r:id="rId6"/>
    <sheet name="Exo 7" sheetId="15" r:id="rId7"/>
    <sheet name="Exo 8" sheetId="26" r:id="rId8"/>
    <sheet name="Exo 9" sheetId="16" r:id="rId9"/>
    <sheet name="Exo 10" sheetId="17" r:id="rId10"/>
    <sheet name="Exo 11" sheetId="18" r:id="rId11"/>
    <sheet name="Exo 12" sheetId="19" r:id="rId12"/>
    <sheet name="Exo 13" sheetId="20" r:id="rId13"/>
    <sheet name="Exo 14" sheetId="21" r:id="rId14"/>
    <sheet name="Exo 15" sheetId="23" r:id="rId15"/>
    <sheet name="Exo 16" sheetId="24" r:id="rId16"/>
    <sheet name="Exo 17" sheetId="25" r:id="rId17"/>
  </sheets>
  <calcPr calcId="191029"/>
</workbook>
</file>

<file path=xl/calcChain.xml><?xml version="1.0" encoding="utf-8"?>
<calcChain xmlns="http://schemas.openxmlformats.org/spreadsheetml/2006/main">
  <c r="D14" i="28" l="1"/>
  <c r="D16" i="28" s="1"/>
  <c r="B16" i="28"/>
  <c r="D15" i="28"/>
  <c r="B9" i="28"/>
  <c r="B7" i="28"/>
  <c r="B5" i="28"/>
  <c r="B6" i="28"/>
  <c r="C23" i="11"/>
  <c r="C22" i="11"/>
  <c r="B23" i="11"/>
  <c r="B22" i="11"/>
  <c r="D15" i="11"/>
  <c r="A15" i="11"/>
  <c r="E35" i="12"/>
  <c r="E36" i="12"/>
  <c r="E34" i="12"/>
  <c r="B17" i="12"/>
  <c r="B15" i="12"/>
  <c r="F15" i="12"/>
  <c r="C16" i="12"/>
  <c r="C18" i="12"/>
  <c r="C83" i="11" l="1"/>
  <c r="D93" i="11"/>
  <c r="D50" i="13" l="1"/>
  <c r="B21" i="13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F41" i="26" l="1"/>
  <c r="C41" i="26"/>
  <c r="B41" i="26"/>
  <c r="D41" i="26" s="1"/>
  <c r="F40" i="26"/>
  <c r="D40" i="26"/>
  <c r="C40" i="26"/>
  <c r="B40" i="26"/>
  <c r="F39" i="26"/>
  <c r="C39" i="26"/>
  <c r="D39" i="26" s="1"/>
  <c r="H39" i="26" s="1"/>
  <c r="B39" i="26"/>
  <c r="F38" i="26"/>
  <c r="C38" i="26"/>
  <c r="B38" i="26"/>
  <c r="D38" i="26" s="1"/>
  <c r="D26" i="26"/>
  <c r="C26" i="26"/>
  <c r="B26" i="26"/>
  <c r="E26" i="26" s="1"/>
  <c r="E41" i="26" s="1"/>
  <c r="G41" i="26" s="1"/>
  <c r="D25" i="26"/>
  <c r="C25" i="26"/>
  <c r="B25" i="26"/>
  <c r="E25" i="26" s="1"/>
  <c r="E40" i="26" s="1"/>
  <c r="G40" i="26" s="1"/>
  <c r="H40" i="26" s="1"/>
  <c r="D24" i="26"/>
  <c r="C24" i="26"/>
  <c r="B24" i="26"/>
  <c r="E24" i="26" s="1"/>
  <c r="E39" i="26" s="1"/>
  <c r="G39" i="26" s="1"/>
  <c r="D23" i="26"/>
  <c r="C23" i="26"/>
  <c r="B23" i="26"/>
  <c r="E23" i="26" s="1"/>
  <c r="E38" i="26" s="1"/>
  <c r="G38" i="26" s="1"/>
  <c r="G42" i="26" s="1"/>
  <c r="C16" i="26"/>
  <c r="B16" i="26"/>
  <c r="D7" i="26"/>
  <c r="D8" i="26" s="1"/>
  <c r="D6" i="26"/>
  <c r="D5" i="26"/>
  <c r="D4" i="26"/>
  <c r="D42" i="26" l="1"/>
  <c r="H38" i="26"/>
  <c r="H42" i="26" s="1"/>
  <c r="H41" i="26"/>
  <c r="H21" i="25" l="1"/>
  <c r="H20" i="25"/>
  <c r="H19" i="25"/>
  <c r="D20" i="25"/>
  <c r="D19" i="25"/>
  <c r="D22" i="25" s="1"/>
  <c r="I18" i="23"/>
  <c r="I17" i="23"/>
  <c r="I15" i="23"/>
  <c r="I13" i="23"/>
  <c r="H23" i="25" l="1"/>
  <c r="E28" i="25" s="1"/>
  <c r="G73" i="19"/>
  <c r="F73" i="19"/>
  <c r="E73" i="19"/>
  <c r="D70" i="19"/>
  <c r="D69" i="19"/>
  <c r="F23" i="20" l="1"/>
  <c r="D17" i="18"/>
  <c r="D18" i="18"/>
  <c r="D16" i="18"/>
  <c r="E8" i="18"/>
  <c r="C16" i="18" s="1"/>
  <c r="E23" i="17" l="1"/>
  <c r="E54" i="16" l="1"/>
  <c r="C54" i="16"/>
  <c r="D83" i="11" l="1"/>
  <c r="D84" i="11" s="1"/>
  <c r="D82" i="11"/>
  <c r="C84" i="11"/>
  <c r="C82" i="11"/>
  <c r="B83" i="11"/>
  <c r="B84" i="11" s="1"/>
  <c r="E84" i="11" s="1"/>
  <c r="B82" i="11"/>
  <c r="E82" i="11" s="1"/>
  <c r="E83" i="11" l="1"/>
  <c r="F83" i="11" s="1"/>
  <c r="D80" i="11"/>
  <c r="D81" i="11"/>
  <c r="E81" i="11"/>
  <c r="F81" i="11" s="1"/>
  <c r="C81" i="11"/>
  <c r="B81" i="11"/>
  <c r="C80" i="11"/>
  <c r="B80" i="11"/>
  <c r="E80" i="11" s="1"/>
  <c r="F80" i="11" s="1"/>
  <c r="D79" i="11"/>
  <c r="E79" i="11" s="1"/>
  <c r="F79" i="11" s="1"/>
  <c r="C79" i="11"/>
  <c r="B79" i="11"/>
  <c r="G78" i="25" l="1"/>
  <c r="G77" i="25"/>
  <c r="G79" i="25" s="1"/>
  <c r="D76" i="25"/>
  <c r="D75" i="25"/>
  <c r="G73" i="25"/>
  <c r="G74" i="25" s="1"/>
  <c r="D73" i="25"/>
  <c r="D72" i="25"/>
  <c r="D74" i="25" s="1"/>
  <c r="D49" i="25"/>
  <c r="D48" i="25"/>
  <c r="D47" i="25"/>
  <c r="D45" i="25"/>
  <c r="D46" i="25" s="1"/>
  <c r="G13" i="25"/>
  <c r="D12" i="25"/>
  <c r="G12" i="25" s="1"/>
  <c r="G11" i="25"/>
  <c r="G14" i="25" s="1"/>
  <c r="F11" i="25"/>
  <c r="D11" i="25"/>
  <c r="G9" i="25"/>
  <c r="G8" i="25"/>
  <c r="G10" i="25" s="1"/>
  <c r="D8" i="25"/>
  <c r="D10" i="25" s="1"/>
  <c r="G80" i="25" l="1"/>
  <c r="D50" i="25"/>
  <c r="D14" i="25"/>
  <c r="D15" i="25" s="1"/>
  <c r="D79" i="25"/>
  <c r="D80" i="25" s="1"/>
  <c r="H80" i="25" s="1"/>
  <c r="G15" i="25"/>
  <c r="D76" i="23" l="1"/>
  <c r="C76" i="23"/>
  <c r="H72" i="23"/>
  <c r="H73" i="23" s="1"/>
  <c r="B70" i="23"/>
  <c r="D69" i="23"/>
  <c r="D55" i="23"/>
  <c r="C55" i="23"/>
  <c r="G50" i="23"/>
  <c r="C50" i="23"/>
  <c r="C68" i="23" s="1"/>
  <c r="D34" i="23"/>
  <c r="D35" i="23" s="1"/>
  <c r="C34" i="23"/>
  <c r="C35" i="23" s="1"/>
  <c r="B34" i="23"/>
  <c r="B35" i="23" s="1"/>
  <c r="D33" i="23"/>
  <c r="C33" i="23"/>
  <c r="B33" i="23"/>
  <c r="B54" i="23" s="1"/>
  <c r="D8" i="23"/>
  <c r="B50" i="23" s="1"/>
  <c r="D50" i="23" s="1"/>
  <c r="E7" i="23"/>
  <c r="C6" i="23"/>
  <c r="E6" i="23" s="1"/>
  <c r="E8" i="23" s="1"/>
  <c r="G8" i="23" s="1"/>
  <c r="E35" i="23" l="1"/>
  <c r="B74" i="23"/>
  <c r="D68" i="23"/>
  <c r="D70" i="23" s="1"/>
  <c r="J8" i="23"/>
  <c r="K8" i="23" s="1"/>
  <c r="B53" i="23"/>
  <c r="C70" i="23" l="1"/>
  <c r="B75" i="23"/>
  <c r="B76" i="23"/>
  <c r="B77" i="23" s="1"/>
  <c r="D75" i="23"/>
  <c r="D77" i="23" s="1"/>
  <c r="C75" i="23"/>
  <c r="C77" i="23" s="1"/>
  <c r="B55" i="23"/>
  <c r="B56" i="23" s="1"/>
  <c r="C54" i="23"/>
  <c r="C56" i="23" s="1"/>
  <c r="D54" i="23"/>
  <c r="D56" i="23" s="1"/>
  <c r="E77" i="23" l="1"/>
  <c r="E56" i="23"/>
  <c r="E48" i="20" l="1"/>
  <c r="C47" i="20"/>
  <c r="E47" i="20" s="1"/>
  <c r="E46" i="20"/>
  <c r="E45" i="20"/>
  <c r="E44" i="20"/>
  <c r="E43" i="20"/>
  <c r="E42" i="20"/>
  <c r="E41" i="20"/>
  <c r="E40" i="20"/>
  <c r="E39" i="20"/>
  <c r="D25" i="20"/>
  <c r="C25" i="20"/>
  <c r="D24" i="20"/>
  <c r="C24" i="20"/>
  <c r="K23" i="20"/>
  <c r="D23" i="20"/>
  <c r="C23" i="20"/>
  <c r="C19" i="20"/>
  <c r="F12" i="20"/>
  <c r="D12" i="20"/>
  <c r="B12" i="20"/>
  <c r="H7" i="20"/>
  <c r="F7" i="20"/>
  <c r="C7" i="20"/>
  <c r="G6" i="20"/>
  <c r="F11" i="20" s="1"/>
  <c r="E6" i="20"/>
  <c r="I6" i="20" s="1"/>
  <c r="G5" i="20"/>
  <c r="I44" i="20" s="1"/>
  <c r="E5" i="20"/>
  <c r="G4" i="20"/>
  <c r="B11" i="20" s="1"/>
  <c r="E4" i="20"/>
  <c r="I4" i="20" s="1"/>
  <c r="E49" i="20" l="1"/>
  <c r="I45" i="20" s="1"/>
  <c r="F13" i="20"/>
  <c r="B13" i="20"/>
  <c r="H12" i="20"/>
  <c r="E24" i="20"/>
  <c r="F24" i="20" s="1"/>
  <c r="E7" i="20"/>
  <c r="D7" i="20" s="1"/>
  <c r="I46" i="20"/>
  <c r="C26" i="20"/>
  <c r="E25" i="20"/>
  <c r="F25" i="20" s="1"/>
  <c r="D26" i="20"/>
  <c r="D11" i="20"/>
  <c r="D13" i="20" s="1"/>
  <c r="I5" i="20"/>
  <c r="I7" i="20" s="1"/>
  <c r="E23" i="20"/>
  <c r="H11" i="20" l="1"/>
  <c r="E26" i="20"/>
  <c r="F26" i="20"/>
  <c r="H26" i="20" s="1"/>
  <c r="D77" i="19" l="1"/>
  <c r="D75" i="19"/>
  <c r="E70" i="19"/>
  <c r="E71" i="19" s="1"/>
  <c r="D76" i="19" s="1"/>
  <c r="D78" i="19" s="1"/>
  <c r="E69" i="19"/>
  <c r="F54" i="19"/>
  <c r="B54" i="19"/>
  <c r="B53" i="19"/>
  <c r="B55" i="19" s="1"/>
  <c r="B52" i="19"/>
  <c r="F37" i="19"/>
  <c r="D37" i="19"/>
  <c r="F36" i="19"/>
  <c r="D36" i="19"/>
  <c r="F35" i="19"/>
  <c r="D35" i="19"/>
  <c r="B25" i="19"/>
  <c r="B24" i="19"/>
  <c r="B23" i="19"/>
  <c r="B26" i="19" s="1"/>
  <c r="B17" i="19"/>
  <c r="B13" i="19"/>
  <c r="C13" i="19" s="1"/>
  <c r="B30" i="19" s="1"/>
  <c r="B12" i="19"/>
  <c r="B14" i="19" s="1"/>
  <c r="H9" i="19"/>
  <c r="H10" i="19" s="1"/>
  <c r="E9" i="19"/>
  <c r="B37" i="19" s="1"/>
  <c r="C37" i="19" s="1"/>
  <c r="C9" i="19"/>
  <c r="C12" i="19" l="1"/>
  <c r="B18" i="19"/>
  <c r="H12" i="19"/>
  <c r="E37" i="19"/>
  <c r="G37" i="19" s="1"/>
  <c r="D38" i="19"/>
  <c r="H35" i="19" s="1"/>
  <c r="B35" i="19"/>
  <c r="B36" i="19"/>
  <c r="C36" i="19" s="1"/>
  <c r="E36" i="19" s="1"/>
  <c r="G36" i="19" s="1"/>
  <c r="H37" i="19" l="1"/>
  <c r="H36" i="19"/>
  <c r="C35" i="19"/>
  <c r="B38" i="19"/>
  <c r="C38" i="19" l="1"/>
  <c r="E35" i="19"/>
  <c r="E38" i="19" l="1"/>
  <c r="G35" i="19"/>
  <c r="G38" i="19" s="1"/>
  <c r="B33" i="19" l="1"/>
  <c r="B31" i="19"/>
  <c r="C54" i="18" l="1"/>
  <c r="D43" i="18"/>
  <c r="D42" i="18"/>
  <c r="D41" i="18"/>
  <c r="E37" i="18"/>
  <c r="C37" i="18"/>
  <c r="B37" i="18"/>
  <c r="D36" i="18" s="1"/>
  <c r="E36" i="18" s="1"/>
  <c r="I36" i="18"/>
  <c r="G36" i="18"/>
  <c r="G35" i="18"/>
  <c r="G34" i="18"/>
  <c r="C27" i="18"/>
  <c r="B27" i="18"/>
  <c r="D24" i="18"/>
  <c r="E24" i="18" s="1"/>
  <c r="H14" i="18"/>
  <c r="F11" i="18"/>
  <c r="C11" i="18"/>
  <c r="E10" i="18"/>
  <c r="B10" i="18"/>
  <c r="E9" i="18"/>
  <c r="B9" i="18"/>
  <c r="G8" i="18"/>
  <c r="B8" i="18"/>
  <c r="G9" i="18" l="1"/>
  <c r="C17" i="18"/>
  <c r="D25" i="18" s="1"/>
  <c r="E25" i="18" s="1"/>
  <c r="D9" i="18"/>
  <c r="H9" i="18" s="1"/>
  <c r="B17" i="18"/>
  <c r="E17" i="18" s="1"/>
  <c r="D10" i="18"/>
  <c r="B18" i="18"/>
  <c r="G10" i="18"/>
  <c r="G14" i="18" s="1"/>
  <c r="H15" i="18" s="1"/>
  <c r="C18" i="18"/>
  <c r="D26" i="18" s="1"/>
  <c r="E26" i="18" s="1"/>
  <c r="E27" i="18" s="1"/>
  <c r="D8" i="18"/>
  <c r="B16" i="18"/>
  <c r="E16" i="18" s="1"/>
  <c r="D34" i="18"/>
  <c r="E34" i="18" s="1"/>
  <c r="G37" i="18"/>
  <c r="B39" i="18" s="1"/>
  <c r="B41" i="18" s="1"/>
  <c r="D44" i="18"/>
  <c r="I34" i="18"/>
  <c r="D35" i="18"/>
  <c r="E35" i="18" s="1"/>
  <c r="D11" i="18"/>
  <c r="H8" i="18"/>
  <c r="I35" i="18"/>
  <c r="I37" i="18" l="1"/>
  <c r="H10" i="18"/>
  <c r="H11" i="18" s="1"/>
  <c r="E18" i="18"/>
  <c r="G11" i="18"/>
  <c r="E19" i="18"/>
  <c r="G23" i="18" s="1"/>
  <c r="D37" i="18"/>
  <c r="F37" i="17" l="1"/>
  <c r="C37" i="17"/>
  <c r="D37" i="17" s="1"/>
  <c r="B37" i="17"/>
  <c r="F36" i="17"/>
  <c r="C36" i="17"/>
  <c r="D36" i="17" s="1"/>
  <c r="B36" i="17"/>
  <c r="B23" i="17"/>
  <c r="G23" i="17" s="1"/>
  <c r="E19" i="17"/>
  <c r="E10" i="17"/>
  <c r="F9" i="17"/>
  <c r="E22" i="17" s="1"/>
  <c r="D9" i="17"/>
  <c r="H9" i="17" s="1"/>
  <c r="F8" i="17"/>
  <c r="B22" i="17" s="1"/>
  <c r="D8" i="17"/>
  <c r="H8" i="17" s="1"/>
  <c r="B38" i="17" l="1"/>
  <c r="B19" i="17"/>
  <c r="G19" i="17" s="1"/>
  <c r="G22" i="17"/>
  <c r="G37" i="17"/>
  <c r="E37" i="17"/>
  <c r="D38" i="17"/>
  <c r="G36" i="17"/>
  <c r="E36" i="17"/>
  <c r="B10" i="17"/>
  <c r="D14" i="17" s="1"/>
  <c r="C38" i="17"/>
  <c r="E38" i="17" l="1"/>
  <c r="G39" i="17"/>
  <c r="H10" i="17"/>
  <c r="B16" i="17"/>
  <c r="B63" i="16" l="1"/>
  <c r="B59" i="16"/>
  <c r="B58" i="16"/>
  <c r="B60" i="16" s="1"/>
  <c r="B62" i="16" s="1"/>
  <c r="F54" i="16"/>
  <c r="D54" i="16"/>
  <c r="B54" i="16"/>
  <c r="A54" i="16"/>
  <c r="D45" i="16"/>
  <c r="D41" i="16"/>
  <c r="B41" i="16"/>
  <c r="D40" i="16"/>
  <c r="B40" i="16"/>
  <c r="C30" i="16"/>
  <c r="A30" i="16"/>
  <c r="F29" i="16"/>
  <c r="G29" i="16" s="1"/>
  <c r="H29" i="16" s="1"/>
  <c r="C29" i="16"/>
  <c r="A29" i="16"/>
  <c r="E28" i="16"/>
  <c r="C28" i="16"/>
  <c r="A28" i="16"/>
  <c r="E27" i="16"/>
  <c r="D44" i="16" s="1"/>
  <c r="C27" i="16"/>
  <c r="A27" i="16"/>
  <c r="E26" i="16"/>
  <c r="G26" i="16" s="1"/>
  <c r="H26" i="16" s="1"/>
  <c r="C26" i="16"/>
  <c r="A26" i="16"/>
  <c r="E25" i="16"/>
  <c r="G25" i="16" s="1"/>
  <c r="H25" i="16" s="1"/>
  <c r="C25" i="16"/>
  <c r="A25" i="16"/>
  <c r="G24" i="16"/>
  <c r="H24" i="16" s="1"/>
  <c r="E24" i="16"/>
  <c r="B24" i="16"/>
  <c r="C24" i="16" s="1"/>
  <c r="B45" i="16" s="1"/>
  <c r="D18" i="16"/>
  <c r="C9" i="16" s="1"/>
  <c r="C18" i="16"/>
  <c r="B18" i="16"/>
  <c r="C8" i="16"/>
  <c r="D8" i="16" s="1"/>
  <c r="D7" i="16"/>
  <c r="F30" i="16" l="1"/>
  <c r="G30" i="16" s="1"/>
  <c r="H30" i="16" s="1"/>
  <c r="D9" i="16"/>
  <c r="B65" i="16"/>
  <c r="D10" i="16"/>
  <c r="B42" i="16"/>
  <c r="G28" i="16"/>
  <c r="B64" i="16"/>
  <c r="G27" i="16"/>
  <c r="H27" i="16" s="1"/>
  <c r="D42" i="16" s="1"/>
  <c r="B44" i="16"/>
  <c r="H28" i="16" l="1"/>
  <c r="H54" i="16" s="1"/>
  <c r="G54" i="16"/>
  <c r="H31" i="16"/>
  <c r="B33" i="15" l="1"/>
  <c r="B32" i="15"/>
  <c r="B31" i="15"/>
  <c r="B34" i="15" s="1"/>
  <c r="B28" i="15"/>
  <c r="I27" i="15"/>
  <c r="H27" i="15"/>
  <c r="H28" i="15" s="1"/>
  <c r="B27" i="15"/>
  <c r="I26" i="15"/>
  <c r="H26" i="15"/>
  <c r="H25" i="15"/>
  <c r="C24" i="15"/>
  <c r="C25" i="15" s="1"/>
  <c r="E20" i="15"/>
  <c r="D19" i="15"/>
  <c r="D20" i="15" s="1"/>
  <c r="D18" i="15"/>
  <c r="H16" i="15"/>
  <c r="D13" i="15"/>
  <c r="D12" i="15"/>
  <c r="D11" i="15"/>
  <c r="D7" i="15"/>
  <c r="D6" i="15"/>
  <c r="D5" i="15"/>
  <c r="D4" i="15"/>
  <c r="D8" i="15" s="1"/>
  <c r="B26" i="14"/>
  <c r="B22" i="14"/>
  <c r="B21" i="14"/>
  <c r="H20" i="14"/>
  <c r="B20" i="14"/>
  <c r="C17" i="14"/>
  <c r="C18" i="14" s="1"/>
  <c r="G14" i="14"/>
  <c r="H13" i="14"/>
  <c r="G13" i="14"/>
  <c r="G12" i="14"/>
  <c r="H12" i="14" s="1"/>
  <c r="D43" i="13"/>
  <c r="D49" i="13"/>
  <c r="J50" i="13"/>
  <c r="J49" i="13"/>
  <c r="J43" i="13"/>
  <c r="D33" i="13"/>
  <c r="B24" i="13"/>
  <c r="C24" i="13"/>
  <c r="C25" i="13"/>
  <c r="G48" i="13"/>
  <c r="G42" i="13"/>
  <c r="A42" i="13"/>
  <c r="A48" i="13" s="1"/>
  <c r="C20" i="13"/>
  <c r="G15" i="13"/>
  <c r="B15" i="13"/>
  <c r="M14" i="13"/>
  <c r="L14" i="13"/>
  <c r="I14" i="13"/>
  <c r="B14" i="13"/>
  <c r="D14" i="13" s="1"/>
  <c r="I7" i="13"/>
  <c r="I6" i="13"/>
  <c r="J44" i="13" s="1"/>
  <c r="I5" i="13"/>
  <c r="D44" i="13" s="1"/>
  <c r="B29" i="15" l="1"/>
  <c r="H21" i="14"/>
  <c r="H22" i="14" s="1"/>
  <c r="H24" i="14" s="1"/>
  <c r="H14" i="14"/>
  <c r="J45" i="13"/>
  <c r="D32" i="13"/>
  <c r="N14" i="13"/>
  <c r="C18" i="13" s="1"/>
  <c r="C21" i="13" s="1"/>
  <c r="D21" i="13" s="1"/>
  <c r="D45" i="13"/>
  <c r="I8" i="13"/>
  <c r="B18" i="13"/>
  <c r="B25" i="13" s="1"/>
  <c r="D25" i="13" s="1"/>
  <c r="I15" i="13"/>
  <c r="H15" i="13" s="1"/>
  <c r="B25" i="14" l="1"/>
  <c r="B24" i="14"/>
  <c r="N15" i="13"/>
  <c r="M15" i="13" s="1"/>
  <c r="D18" i="13"/>
  <c r="D15" i="13"/>
  <c r="C15" i="13" s="1"/>
  <c r="B27" i="14" l="1"/>
  <c r="D36" i="12" l="1"/>
  <c r="D35" i="12"/>
  <c r="D34" i="12"/>
  <c r="C26" i="12"/>
  <c r="B26" i="12"/>
  <c r="B28" i="12" s="1"/>
  <c r="D28" i="12" s="1"/>
  <c r="D25" i="12"/>
  <c r="D24" i="12"/>
  <c r="D23" i="12"/>
  <c r="C7" i="12"/>
  <c r="F36" i="12" s="1"/>
  <c r="B7" i="12"/>
  <c r="C6" i="12"/>
  <c r="F35" i="12" s="1"/>
  <c r="B6" i="12"/>
  <c r="D5" i="12"/>
  <c r="D26" i="12" l="1"/>
  <c r="D6" i="12"/>
  <c r="G36" i="12"/>
  <c r="G35" i="12"/>
  <c r="D37" i="12"/>
  <c r="C37" i="12" s="1"/>
  <c r="G34" i="12"/>
  <c r="D7" i="12"/>
  <c r="D8" i="12" s="1"/>
  <c r="G37" i="12" l="1"/>
  <c r="F37" i="12" s="1"/>
  <c r="I9" i="11"/>
  <c r="E53" i="11" l="1"/>
  <c r="F53" i="11" s="1"/>
  <c r="E51" i="11"/>
  <c r="D56" i="11"/>
  <c r="C56" i="11"/>
  <c r="E54" i="11" l="1"/>
  <c r="F54" i="11" s="1"/>
  <c r="E52" i="11"/>
  <c r="F52" i="11" s="1"/>
  <c r="E55" i="11"/>
  <c r="F55" i="11" s="1"/>
  <c r="B56" i="11"/>
  <c r="E56" i="11" s="1"/>
  <c r="F56" i="11" s="1"/>
  <c r="F51" i="11"/>
  <c r="F57" i="11" l="1"/>
  <c r="A54" i="11"/>
  <c r="A82" i="11" s="1"/>
  <c r="A55" i="11"/>
  <c r="A83" i="11" s="1"/>
  <c r="A56" i="11"/>
  <c r="A84" i="11" s="1"/>
  <c r="A51" i="11"/>
  <c r="A79" i="11" s="1"/>
  <c r="A52" i="11"/>
  <c r="A80" i="11" s="1"/>
  <c r="A53" i="11"/>
  <c r="A81" i="11" s="1"/>
  <c r="C10" i="11"/>
  <c r="C8" i="11"/>
  <c r="F9" i="11"/>
  <c r="G9" i="11" s="1"/>
  <c r="F7" i="11"/>
  <c r="G7" i="11" s="1"/>
  <c r="G6" i="11"/>
  <c r="G5" i="11"/>
  <c r="D7" i="11"/>
  <c r="H47" i="11" s="1"/>
  <c r="I47" i="11" s="1"/>
  <c r="D6" i="11"/>
  <c r="I46" i="11" s="1"/>
  <c r="D5" i="11"/>
  <c r="H45" i="11" s="1"/>
  <c r="I45" i="11" s="1"/>
  <c r="D10" i="11" l="1"/>
  <c r="F84" i="11"/>
  <c r="F8" i="11"/>
  <c r="G8" i="11" s="1"/>
  <c r="F82" i="11"/>
  <c r="F85" i="11" s="1"/>
  <c r="D8" i="11"/>
  <c r="H48" i="11" s="1"/>
  <c r="I48" i="11" s="1"/>
  <c r="F10" i="11"/>
  <c r="G10" i="11" s="1"/>
  <c r="G11" i="11" s="1"/>
  <c r="D9" i="11"/>
  <c r="I10" i="11" l="1"/>
  <c r="D70" i="11"/>
  <c r="D11" i="11"/>
  <c r="C70" i="11" s="1"/>
  <c r="E70" i="11" s="1"/>
  <c r="B29" i="11"/>
  <c r="C29" i="11"/>
  <c r="C37" i="11" l="1"/>
  <c r="D65" i="11" s="1"/>
  <c r="C38" i="11"/>
  <c r="D66" i="11" s="1"/>
  <c r="B38" i="11"/>
  <c r="C66" i="11" s="1"/>
  <c r="B37" i="11"/>
  <c r="C65" i="11" s="1"/>
  <c r="D67" i="11" l="1"/>
  <c r="D69" i="11" s="1"/>
  <c r="C67" i="11"/>
  <c r="C69" i="11" l="1"/>
  <c r="E67" i="11"/>
  <c r="E7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5" authorId="0" shapeId="0" xr:uid="{D26145DE-396F-4D1B-BAA2-9BF4EBC085BF}">
      <text>
        <r>
          <rPr>
            <b/>
            <sz val="9"/>
            <color indexed="81"/>
            <rFont val="Tahoma"/>
            <family val="2"/>
          </rPr>
          <t xml:space="preserve">180000/9000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4E5C20A0-2D7B-4B55-BB37-6C16F8A821A7}">
      <text>
        <r>
          <rPr>
            <b/>
            <sz val="9"/>
            <color indexed="81"/>
            <rFont val="Tahoma"/>
            <family val="2"/>
          </rPr>
          <t>120000/180000</t>
        </r>
      </text>
    </comment>
    <comment ref="B6" authorId="0" shapeId="0" xr:uid="{79984A1B-6BBD-4C08-8E20-2D37B07561F5}">
      <text>
        <r>
          <rPr>
            <b/>
            <sz val="9"/>
            <color indexed="81"/>
            <rFont val="Tahoma"/>
            <family val="2"/>
          </rPr>
          <t>20250 H /9000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FCCDD93E-CECB-4D37-83D5-8D4960BDD939}">
      <text>
        <r>
          <rPr>
            <b/>
            <sz val="9"/>
            <color indexed="81"/>
            <rFont val="Tahoma"/>
            <family val="2"/>
          </rPr>
          <t>13500/9000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7FB7149C-9366-4CDF-881D-057FD0BB9B2A}">
      <text>
        <r>
          <rPr>
            <b/>
            <sz val="9"/>
            <color indexed="81"/>
            <rFont val="Tahoma"/>
            <family val="2"/>
          </rPr>
          <t>CUMP</t>
        </r>
        <r>
          <rPr>
            <sz val="9"/>
            <color indexed="81"/>
            <rFont val="Tahoma"/>
            <family val="2"/>
          </rPr>
          <t xml:space="preserve">
176100€ / 255000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1" authorId="0" shapeId="0" xr:uid="{EF2D0906-1F35-48EC-89AD-638D8CB07A2C}">
      <text>
        <r>
          <rPr>
            <b/>
            <sz val="9"/>
            <color indexed="81"/>
            <rFont val="Tahoma"/>
            <family val="2"/>
          </rPr>
          <t>(11,20-12)*12780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A5EAA043-73DD-40A0-A373-372DADC1D340}">
      <text>
        <r>
          <rPr>
            <b/>
            <sz val="9"/>
            <color indexed="81"/>
            <rFont val="Tahoma"/>
            <family val="2"/>
          </rPr>
          <t>(12780-14000)*12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F249C2BD-9A4F-4718-A8C9-1094F3838FBD}">
      <text>
        <r>
          <rPr>
            <b/>
            <sz val="9"/>
            <color indexed="81"/>
            <rFont val="Tahoma"/>
            <family val="2"/>
          </rPr>
          <t>20846*70%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33" authorId="0" shapeId="0" xr:uid="{175AA73F-065E-4C7B-9715-0536A89A4EE4}">
      <text>
        <r>
          <rPr>
            <b/>
            <sz val="9"/>
            <color indexed="81"/>
            <rFont val="Tahoma"/>
            <family val="2"/>
          </rPr>
          <t>12000*2+(1*12000)+6000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53387975-27CE-471B-B5C8-F1AC82177D69}">
      <text>
        <r>
          <rPr>
            <b/>
            <sz val="9"/>
            <color indexed="81"/>
            <rFont val="Tahoma"/>
            <family val="2"/>
          </rPr>
          <t>16000*2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F5DFBF0C-D0C9-45BF-AE2A-10370BADD88F}">
      <text>
        <r>
          <rPr>
            <b/>
            <sz val="9"/>
            <color indexed="81"/>
            <rFont val="Tahoma"/>
            <family val="2"/>
          </rPr>
          <t>3,80*12000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 xr:uid="{0725FFAE-4A1F-49BF-AAD5-3C88224A15EC}">
      <text>
        <r>
          <rPr>
            <b/>
            <sz val="9"/>
            <color indexed="81"/>
            <rFont val="Tahoma"/>
            <family val="2"/>
          </rPr>
          <t>1,2+(9600/16000)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0" shapeId="0" xr:uid="{D10BB255-68D1-4E5E-8948-830B2C6155EE}">
      <text>
        <r>
          <rPr>
            <b/>
            <sz val="9"/>
            <color indexed="81"/>
            <rFont val="Tahoma"/>
            <family val="2"/>
          </rPr>
          <t>1,80 * 1,30</t>
        </r>
        <r>
          <rPr>
            <sz val="9"/>
            <color indexed="81"/>
            <rFont val="Tahoma"/>
            <family val="2"/>
          </rPr>
          <t xml:space="preserve">
ou (1,80 + (1,80*30%))</t>
        </r>
      </text>
    </comment>
    <comment ref="C54" authorId="0" shapeId="0" xr:uid="{0C7694EF-D85A-4E4B-BB42-C11C9E6174BC}">
      <text>
        <r>
          <rPr>
            <b/>
            <sz val="9"/>
            <color indexed="81"/>
            <rFont val="Tahoma"/>
            <family val="2"/>
          </rPr>
          <t>(2,34*12000)+(1*12000)+6000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 xr:uid="{67648132-59B6-48B0-9F4F-C790A68B29FB}">
      <text>
        <r>
          <rPr>
            <b/>
            <sz val="9"/>
            <color indexed="81"/>
            <rFont val="Tahoma"/>
            <family val="2"/>
          </rPr>
          <t>(2,34*4000)+(0,2*4000)+1000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0" shapeId="0" xr:uid="{E9E17D8E-532E-4C4C-938A-79907652FF0D}">
      <text>
        <r>
          <rPr>
            <b/>
            <sz val="9"/>
            <color indexed="81"/>
            <rFont val="Tahoma"/>
            <family val="2"/>
          </rPr>
          <t>16000*2,34€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 xr:uid="{9EB3583E-1BD1-446F-89FE-B45F1C2258A5}">
      <text>
        <r>
          <rPr>
            <b/>
            <sz val="9"/>
            <color indexed="81"/>
            <rFont val="Tahoma"/>
            <family val="2"/>
          </rPr>
          <t xml:space="preserve">(2,015*12000)+(1*12000)+6000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 xr:uid="{FA1EFA59-0029-41F2-94C2-B5CCEC433AE7}">
      <text>
        <r>
          <rPr>
            <b/>
            <sz val="9"/>
            <color indexed="81"/>
            <rFont val="Tahoma"/>
            <family val="2"/>
          </rPr>
          <t>CA : 12000*3,80 = 45600€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E11" authorId="0" shapeId="0" xr:uid="{2CDD9968-A54A-42E3-B490-9C5260752DCE}">
      <text>
        <r>
          <rPr>
            <b/>
            <sz val="9"/>
            <color indexed="81"/>
            <rFont val="Tahoma"/>
            <family val="2"/>
          </rPr>
          <t>1800 P1 vers l'extérieur + 600 P1 servir pour fabriquer P3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19EDB55F-3522-4461-A3D8-593492E1CCD4}">
      <text>
        <r>
          <rPr>
            <b/>
            <sz val="9"/>
            <color indexed="81"/>
            <rFont val="Tahoma"/>
            <family val="2"/>
          </rPr>
          <t>(600€*600)+400000€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8" authorId="0" shapeId="0" xr:uid="{B385D4FE-4F0B-4DC8-96D4-796160D104A6}">
      <text>
        <r>
          <rPr>
            <b/>
            <sz val="9"/>
            <color indexed="81"/>
            <rFont val="Tahoma"/>
            <family val="2"/>
          </rPr>
          <t>445500/29700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E6CC59D7-FB53-4837-A9C2-84987D10FDFC}">
      <text>
        <r>
          <rPr>
            <b/>
            <sz val="9"/>
            <color indexed="81"/>
            <rFont val="Tahoma"/>
            <family val="2"/>
          </rPr>
          <t>(40+10)+50%(300+135+72+28)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F8CE5E1E-4210-4936-A964-3EF9350AA88A}">
      <text>
        <r>
          <rPr>
            <b/>
            <sz val="9"/>
            <color indexed="81"/>
            <rFont val="Tahoma"/>
            <family val="2"/>
          </rPr>
          <t>(15+12) + 50%(240+108+86,40+33,60)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 xr:uid="{CD44BE87-1209-45DC-8904-45841678AFBE}">
      <text>
        <r>
          <rPr>
            <b/>
            <sz val="9"/>
            <color indexed="81"/>
            <rFont val="Tahoma"/>
            <family val="2"/>
          </rPr>
          <t>20 * 317,50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478AD031-79C1-43D3-AACE-0DA1044D274D}">
      <text>
        <r>
          <rPr>
            <b/>
            <sz val="9"/>
            <color indexed="81"/>
            <rFont val="Tahoma"/>
            <family val="2"/>
          </rPr>
          <t>Quantité de M nécessaire pour la production achevée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 xr:uid="{11A95581-BFA1-4CC4-9C98-D5923EEF8DCD}">
      <text>
        <r>
          <rPr>
            <sz val="9"/>
            <color indexed="81"/>
            <rFont val="Tahoma"/>
            <family val="2"/>
          </rPr>
          <t xml:space="preserve">(585*145)  + (495*135)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4" authorId="0" shapeId="0" xr:uid="{733FAC04-9C64-486A-BB42-28FD244E5DA2}">
      <text>
        <r>
          <rPr>
            <b/>
            <sz val="9"/>
            <color indexed="81"/>
            <rFont val="Tahoma"/>
            <family val="2"/>
          </rPr>
          <t>7000 *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A7012D-0F5A-47F6-B698-0C23DEAD16C0}">
      <text>
        <r>
          <rPr>
            <b/>
            <sz val="9"/>
            <color indexed="81"/>
            <rFont val="Tahoma"/>
            <family val="2"/>
          </rPr>
          <t>(37000-35000) * 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601B306F-5417-4EF9-942B-30C9B8E869A8}">
      <text>
        <r>
          <rPr>
            <b/>
            <sz val="9"/>
            <color indexed="81"/>
            <rFont val="Tahoma"/>
            <family val="2"/>
          </rPr>
          <t>(51-50) * 37000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 xr:uid="{67F737A1-B1EA-4AC9-AD91-DAE968F83668}">
      <text>
        <r>
          <rPr>
            <sz val="9"/>
            <color indexed="81"/>
            <rFont val="Tahoma"/>
            <family val="2"/>
          </rPr>
          <t xml:space="preserve">(61000-56000)*40€
</t>
        </r>
      </text>
    </comment>
    <comment ref="J49" authorId="0" shapeId="0" xr:uid="{B05845A8-0B2F-45FE-8027-B8D08863DA0A}">
      <text>
        <r>
          <rPr>
            <b/>
            <sz val="9"/>
            <color indexed="81"/>
            <rFont val="Tahoma"/>
            <family val="2"/>
          </rPr>
          <t>(12000-14000)*15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6CF6DA29-CF37-4A12-A62A-EBE7BEA6BBF5}">
      <text>
        <r>
          <rPr>
            <sz val="9"/>
            <color indexed="81"/>
            <rFont val="Tahoma"/>
            <family val="2"/>
          </rPr>
          <t xml:space="preserve">(42-40)*61000
</t>
        </r>
      </text>
    </comment>
    <comment ref="J50" authorId="0" shapeId="0" xr:uid="{11E29752-3D07-4EFF-9008-F929D83B1B77}">
      <text>
        <r>
          <rPr>
            <b/>
            <sz val="9"/>
            <color indexed="81"/>
            <rFont val="Tahoma"/>
            <family val="2"/>
          </rPr>
          <t>(14-15)*12000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11" authorId="0" shapeId="0" xr:uid="{13F486CF-115C-4B5C-A5C9-43EB0BAEE44A}">
      <text>
        <r>
          <rPr>
            <sz val="9"/>
            <color indexed="81"/>
            <rFont val="Tahoma"/>
            <family val="2"/>
          </rPr>
          <t xml:space="preserve">(60-51,50) * (12*10000)
</t>
        </r>
      </text>
    </comment>
    <comment ref="H13" authorId="0" shapeId="0" xr:uid="{2B80237D-2F26-4899-AD15-60E510E628AC}">
      <text>
        <r>
          <rPr>
            <b/>
            <sz val="9"/>
            <color indexed="81"/>
            <rFont val="Tahoma"/>
            <family val="2"/>
          </rPr>
          <t>51,50 * 145000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54228509-EFB2-4957-A311-55CC9448C4E2}">
      <text>
        <r>
          <rPr>
            <b/>
            <sz val="9"/>
            <color indexed="81"/>
            <rFont val="Tahoma"/>
            <family val="2"/>
          </rPr>
          <t>12000 * 12 (HM)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E701FD74-6B32-47D1-91EE-AD0987249623}">
      <text>
        <r>
          <rPr>
            <b/>
            <sz val="9"/>
            <color indexed="81"/>
            <rFont val="Tahoma"/>
            <family val="2"/>
          </rPr>
          <t>144000 * 60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D12" authorId="0" shapeId="0" xr:uid="{B475B701-1EAE-4547-A20E-E9A28E2E9C25}">
      <text>
        <r>
          <rPr>
            <b/>
            <sz val="9"/>
            <color indexed="81"/>
            <rFont val="Tahoma"/>
            <family val="2"/>
          </rPr>
          <t>3850 * 29 *2,25</t>
        </r>
        <r>
          <rPr>
            <sz val="9"/>
            <color indexed="81"/>
            <rFont val="Tahoma"/>
            <family val="2"/>
          </rPr>
          <t xml:space="preserve">
ou 3850 * 65,25€</t>
        </r>
      </text>
    </comment>
    <comment ref="D18" authorId="0" shapeId="0" xr:uid="{B1460493-52E0-4382-8E41-F8CA36C014D8}">
      <text>
        <r>
          <rPr>
            <sz val="9"/>
            <color indexed="81"/>
            <rFont val="Tahoma"/>
            <family val="2"/>
          </rPr>
          <t xml:space="preserve">=(8750-(2,25*3850))*29
</t>
        </r>
      </text>
    </comment>
    <comment ref="D19" authorId="0" shapeId="0" xr:uid="{CE51154A-29D9-4FDF-AC99-311F9C8D12C7}">
      <text>
        <r>
          <rPr>
            <b/>
            <sz val="9"/>
            <color indexed="81"/>
            <rFont val="Tahoma"/>
            <family val="2"/>
          </rPr>
          <t>=(28,5-29)*8750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256F1F00-82AE-4546-B390-E054A0ADD4F3}">
      <text>
        <r>
          <rPr>
            <b/>
            <sz val="9"/>
            <color indexed="81"/>
            <rFont val="Tahoma"/>
            <family val="2"/>
          </rPr>
          <t>3850 * 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8D3610F0-74F7-4AFE-8FBA-127FA0F24846}">
      <text>
        <r>
          <rPr>
            <b/>
            <sz val="9"/>
            <color indexed="81"/>
            <rFont val="Tahoma"/>
            <family val="2"/>
          </rPr>
          <t>230 * 15400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40" authorId="0" shapeId="0" xr:uid="{C9E2BE58-B87C-4DBB-898F-548A3826C312}">
      <text>
        <r>
          <rPr>
            <b/>
            <sz val="9"/>
            <color indexed="81"/>
            <rFont val="Tahoma"/>
            <family val="2"/>
          </rPr>
          <t>35280 - (8500*5)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2FED5B74-57A9-4A77-97AE-510D42FA3345}">
      <text>
        <r>
          <rPr>
            <sz val="9"/>
            <color indexed="81"/>
            <rFont val="Tahoma"/>
            <family val="2"/>
          </rPr>
          <t>8500*0,250 = &gt; 2125 Kg
7820 * 0,250 = &gt; 1955 Kg
2125 - 1955 =&gt; 170Kg
170 * 20 = &gt; 3400€</t>
        </r>
      </text>
    </comment>
    <comment ref="B44" authorId="0" shapeId="0" xr:uid="{1118B722-D38C-44DE-BA98-2AD0837CEC1C}">
      <text>
        <r>
          <rPr>
            <b/>
            <sz val="9"/>
            <color indexed="81"/>
            <rFont val="Tahoma"/>
            <family val="2"/>
          </rPr>
          <t>(1960-1955)*20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CE210DFD-9925-448C-91B7-762EB6613149}">
      <text>
        <r>
          <rPr>
            <b/>
            <sz val="9"/>
            <color indexed="81"/>
            <rFont val="Tahoma"/>
            <family val="2"/>
          </rPr>
          <t>(18-20)*1960</t>
        </r>
      </text>
    </comment>
    <comment ref="B59" authorId="0" shapeId="0" xr:uid="{3F98FCA3-7477-43FA-B649-E0FA3283E162}">
      <text>
        <r>
          <rPr>
            <b/>
            <sz val="9"/>
            <color indexed="81"/>
            <rFont val="Tahoma"/>
            <family val="2"/>
          </rPr>
          <t>(10875/2125)*1960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 shapeId="0" xr:uid="{46CBEB1F-867C-4227-B080-B80D125AC244}">
      <text>
        <r>
          <rPr>
            <b/>
            <sz val="9"/>
            <color indexed="81"/>
            <rFont val="Tahoma"/>
            <family val="2"/>
          </rPr>
          <t>13328 - 14030,59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3" authorId="0" shapeId="0" xr:uid="{8D3DEF4F-0151-4179-85C7-CF9E450F51EA}">
      <text>
        <r>
          <rPr>
            <b/>
            <sz val="9"/>
            <color indexed="81"/>
            <rFont val="Tahoma"/>
            <family val="2"/>
          </rPr>
          <t>14030,59 - (1960*7)
ou
(2125-1960)*CUO Fixe (1,88)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 shapeId="0" xr:uid="{49D71033-515C-49C0-A00A-2CE7E22E8885}">
      <text>
        <r>
          <rPr>
            <b/>
            <sz val="9"/>
            <color indexed="81"/>
            <rFont val="Tahoma"/>
            <family val="2"/>
          </rPr>
          <t>(1960-1955)*7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D14" authorId="0" shapeId="0" xr:uid="{73EAFBED-8E26-45DB-BF78-DADF35EFC0EE}">
      <text>
        <r>
          <rPr>
            <b/>
            <sz val="9"/>
            <color indexed="81"/>
            <rFont val="Tahoma"/>
            <family val="2"/>
          </rPr>
          <t>PV moyen prévu :
875000 / 15000 = 58,33€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 xr:uid="{84C54182-2643-4F0C-90BD-D965399A1127}">
      <text>
        <r>
          <rPr>
            <b/>
            <sz val="9"/>
            <color indexed="81"/>
            <rFont val="Tahoma"/>
            <family val="2"/>
          </rPr>
          <t>(59,05-60)*9500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A87934A6-E1A2-4A3F-B8DB-BD8403829790}">
      <text>
        <r>
          <rPr>
            <b/>
            <sz val="9"/>
            <color indexed="81"/>
            <rFont val="Tahoma"/>
            <family val="2"/>
          </rPr>
          <t>(54,72-55 ) * 5400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F099144B-6FA1-4C1C-AA87-89A7CC8D098A}">
      <text>
        <r>
          <rPr>
            <b/>
            <sz val="9"/>
            <color indexed="81"/>
            <rFont val="Tahoma"/>
            <family val="2"/>
          </rPr>
          <t>(9500-10000)*60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 xr:uid="{7DC51756-2BC6-4F38-A1AD-9109EF369B30}">
      <text>
        <r>
          <rPr>
            <b/>
            <sz val="9"/>
            <color indexed="81"/>
            <rFont val="Tahoma"/>
            <family val="2"/>
          </rPr>
          <t>(5400-5000) * 55€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 xr:uid="{8BEB357D-952D-42DF-BB03-DB313906F3E6}">
      <text>
        <r>
          <rPr>
            <b/>
            <sz val="9"/>
            <color indexed="81"/>
            <rFont val="Tahoma"/>
            <family val="2"/>
          </rPr>
          <t>10000 / 15000 = 66,67%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450F6BE9-8916-4258-8A6D-BD0163020B0A}">
      <text>
        <r>
          <rPr>
            <b/>
            <sz val="9"/>
            <color indexed="81"/>
            <rFont val="Tahoma"/>
            <family val="2"/>
          </rPr>
          <t>14900 * 66,67% = 9933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8" authorId="0" shapeId="0" xr:uid="{77F4AB03-C7E4-4039-82B3-1A1137887311}">
      <text>
        <r>
          <rPr>
            <b/>
            <sz val="9"/>
            <color indexed="81"/>
            <rFont val="Tahoma"/>
            <family val="2"/>
          </rPr>
          <t>PV réel - Coût prévu
126 - 98  = 28€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5D24662C-7FA7-41C4-ADFF-17C58BE160EB}">
      <text>
        <r>
          <rPr>
            <b/>
            <sz val="9"/>
            <color indexed="81"/>
            <rFont val="Tahoma"/>
            <family val="2"/>
          </rPr>
          <t>PV prévu - Coût prévu</t>
        </r>
        <r>
          <rPr>
            <sz val="9"/>
            <color indexed="81"/>
            <rFont val="Tahoma"/>
            <family val="2"/>
          </rPr>
          <t xml:space="preserve">
150€ - 98€ = 52€</t>
        </r>
      </text>
    </comment>
    <comment ref="E16" authorId="0" shapeId="0" xr:uid="{7B5C06AF-1AF7-4101-B153-4FA1792BCD73}">
      <text>
        <r>
          <rPr>
            <b/>
            <sz val="9"/>
            <color indexed="81"/>
            <rFont val="Tahoma"/>
            <family val="2"/>
          </rPr>
          <t>(28-52)*6400 = -153600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 xr:uid="{862A42BA-79F4-4DCE-B7B0-E6D67056E4BE}">
      <text>
        <r>
          <rPr>
            <b/>
            <sz val="9"/>
            <color indexed="81"/>
            <rFont val="Tahoma"/>
            <family val="2"/>
          </rPr>
          <t>(6400-5000)*52 = 72800€</t>
        </r>
      </text>
    </comment>
    <comment ref="B29" authorId="0" shapeId="0" xr:uid="{008C185A-248E-4392-A8C3-7559ACBE8385}">
      <text>
        <r>
          <rPr>
            <b/>
            <sz val="9"/>
            <color indexed="81"/>
            <rFont val="Tahoma"/>
            <family val="2"/>
          </rPr>
          <t>(16900-19000)*77,47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AE5898F8-FD3B-42F2-9024-C92FCD508408}">
      <text>
        <r>
          <rPr>
            <b/>
            <sz val="9"/>
            <color indexed="81"/>
            <rFont val="Tahoma"/>
            <family val="2"/>
          </rPr>
          <t>16900 * 26,32%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13" authorId="0" shapeId="0" xr:uid="{3E1DF06C-3719-4C36-BE90-E3CDFCB901E7}">
      <text>
        <r>
          <rPr>
            <b/>
            <sz val="9"/>
            <color indexed="81"/>
            <rFont val="Tahoma"/>
            <family val="2"/>
          </rPr>
          <t>Prix moyen de N-2: 
1241690 / 10288 nuits = 120,69€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 shapeId="0" xr:uid="{CC31C363-7FAB-4189-AE08-5110C60EA0B6}">
      <text>
        <r>
          <rPr>
            <b/>
            <sz val="9"/>
            <color indexed="81"/>
            <rFont val="Tahoma"/>
            <family val="2"/>
          </rPr>
          <t>3708/10288 = 36,04%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A5F78E7C-80A4-4B6D-8BC4-A9C2CD2B2822}">
      <text>
        <r>
          <rPr>
            <b/>
            <sz val="9"/>
            <color indexed="81"/>
            <rFont val="Tahoma"/>
            <family val="2"/>
          </rPr>
          <t>36,04% * 9500 = 3424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 shapeId="0" xr:uid="{F34D3A82-7EDB-4D40-874F-5BF67CB4638B}">
      <text>
        <r>
          <rPr>
            <b/>
            <sz val="9"/>
            <color indexed="81"/>
            <rFont val="Tahoma"/>
            <family val="2"/>
          </rPr>
          <t>210000*40%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 shapeId="0" xr:uid="{44986B14-B451-48A1-B938-B9D1A2D53CB8}">
      <text>
        <r>
          <rPr>
            <b/>
            <sz val="9"/>
            <color indexed="81"/>
            <rFont val="Tahoma"/>
            <family val="2"/>
          </rPr>
          <t>84000/125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 xr:uid="{389C389C-C3D7-46BE-AC18-2B83954E5C4F}">
      <text>
        <r>
          <rPr>
            <b/>
            <sz val="9"/>
            <color indexed="81"/>
            <rFont val="Tahoma"/>
            <family val="2"/>
          </rPr>
          <t>126000/100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<sst xmlns="http://schemas.openxmlformats.org/spreadsheetml/2006/main" count="885" uniqueCount="480">
  <si>
    <t>M</t>
  </si>
  <si>
    <t>PU</t>
  </si>
  <si>
    <t>Q</t>
  </si>
  <si>
    <t>N</t>
  </si>
  <si>
    <t>MOD Usinage</t>
  </si>
  <si>
    <t>Usinage Charges indirectes</t>
  </si>
  <si>
    <t>MOD Montage</t>
  </si>
  <si>
    <t>Montage Charges indirectes</t>
  </si>
  <si>
    <t>COUT STANDARD UNITAIRE</t>
  </si>
  <si>
    <t>P1</t>
  </si>
  <si>
    <t>P2</t>
  </si>
  <si>
    <t>Initial</t>
  </si>
  <si>
    <t>Final</t>
  </si>
  <si>
    <t>Valeur d'un encours</t>
  </si>
  <si>
    <t>Terminé</t>
  </si>
  <si>
    <t>En Cours Final</t>
  </si>
  <si>
    <t>En Cours Initial</t>
  </si>
  <si>
    <t>En cours initial</t>
  </si>
  <si>
    <t>En cours final</t>
  </si>
  <si>
    <t>Quantité utilisée sur la période</t>
  </si>
  <si>
    <t>Charges de la période</t>
  </si>
  <si>
    <t>Coût de la période</t>
  </si>
  <si>
    <t>Encours Initial</t>
  </si>
  <si>
    <t>Encours Final</t>
  </si>
  <si>
    <t>Coût de la production achévée</t>
  </si>
  <si>
    <t>Quantité achévée</t>
  </si>
  <si>
    <t>Coût standard</t>
  </si>
  <si>
    <t>Coût unitaire d'un produit achevé</t>
  </si>
  <si>
    <t>TOTAL (P1 &amp; P2)</t>
  </si>
  <si>
    <t>Question 1 : Fiche standard</t>
  </si>
  <si>
    <t>Matière premières</t>
  </si>
  <si>
    <t>MOD</t>
  </si>
  <si>
    <t>Centre production (H.Machine)</t>
  </si>
  <si>
    <t>COUT DE PRODUCTION STANDARD UNITAIRE</t>
  </si>
  <si>
    <t>Question 2 : Budget flexible</t>
  </si>
  <si>
    <t>Activité (U.O)</t>
  </si>
  <si>
    <t>13500 (normale)</t>
  </si>
  <si>
    <t>Charges fixes</t>
  </si>
  <si>
    <t>Coût total budget</t>
  </si>
  <si>
    <t>Coût de l'U.O</t>
  </si>
  <si>
    <t>VALORISATION DES CONSOMMATION DE M. PREMIERES</t>
  </si>
  <si>
    <t>Question 3</t>
  </si>
  <si>
    <t>S. INITIAL</t>
  </si>
  <si>
    <t>TOTAL ENTREE</t>
  </si>
  <si>
    <t>S. FINAL</t>
  </si>
  <si>
    <t>Consommation</t>
  </si>
  <si>
    <t>COUT REEL  9230 unités</t>
  </si>
  <si>
    <t>Centre production</t>
  </si>
  <si>
    <t>COUT TOTAL</t>
  </si>
  <si>
    <t>EXERCICE 2</t>
  </si>
  <si>
    <t>Production prévue :</t>
  </si>
  <si>
    <t>Quantité</t>
  </si>
  <si>
    <t>P.U</t>
  </si>
  <si>
    <t>Montant</t>
  </si>
  <si>
    <t>Production réelle :</t>
  </si>
  <si>
    <t>Mat A</t>
  </si>
  <si>
    <t>Mat B</t>
  </si>
  <si>
    <t>Cout variable unitaire  standard</t>
  </si>
  <si>
    <r>
      <t xml:space="preserve">COUT PREVU </t>
    </r>
    <r>
      <rPr>
        <b/>
        <u/>
        <sz val="11"/>
        <color theme="1"/>
        <rFont val="Calibri"/>
        <family val="2"/>
        <scheme val="minor"/>
      </rPr>
      <t>ADAPTE</t>
    </r>
    <r>
      <rPr>
        <b/>
        <sz val="11"/>
        <color theme="1"/>
        <rFont val="Calibri"/>
        <family val="2"/>
        <scheme val="minor"/>
      </rPr>
      <t xml:space="preserve"> A LA PRODUCTION REELLE - 7000 unités</t>
    </r>
  </si>
  <si>
    <t>COUT REEL DE LA PRODUCTION REELLE  - 7000 unités</t>
  </si>
  <si>
    <t>COUT PREVU DE LA PRODUCTION PREVUE  - 7200 unités</t>
  </si>
  <si>
    <t>TOTAL</t>
  </si>
  <si>
    <t>ECART TOTAL</t>
  </si>
  <si>
    <t>Def</t>
  </si>
  <si>
    <t>Fav</t>
  </si>
  <si>
    <t>ECART SUR VOLUME</t>
  </si>
  <si>
    <t>ECART GLOBAL</t>
  </si>
  <si>
    <t xml:space="preserve">Cout réel : </t>
  </si>
  <si>
    <t>Cout préétabli adapté :</t>
  </si>
  <si>
    <t>ECART GLOBAL - Défavorable</t>
  </si>
  <si>
    <t>ECART GLOBAL - Favorable</t>
  </si>
  <si>
    <t>Ecart sur quantité</t>
  </si>
  <si>
    <t>Défavorable</t>
  </si>
  <si>
    <t>Favorable</t>
  </si>
  <si>
    <t>Ecart sur coût</t>
  </si>
  <si>
    <t>EXERCICE 3</t>
  </si>
  <si>
    <t>Production normale/prévue</t>
  </si>
  <si>
    <t>Production réelle</t>
  </si>
  <si>
    <t>Nbre UO par produit</t>
  </si>
  <si>
    <t>CUO total</t>
  </si>
  <si>
    <t>CUO Variable</t>
  </si>
  <si>
    <t>Budget flexible du centre</t>
  </si>
  <si>
    <t>Charges fixes du centre</t>
  </si>
  <si>
    <t>UO</t>
  </si>
  <si>
    <t>H. Machine réelle</t>
  </si>
  <si>
    <t>Charges variables</t>
  </si>
  <si>
    <t>Coût de l'atelier A</t>
  </si>
  <si>
    <t>Charges totales</t>
  </si>
  <si>
    <t>CUO</t>
  </si>
  <si>
    <r>
      <t xml:space="preserve">Activité standard </t>
    </r>
    <r>
      <rPr>
        <i/>
        <sz val="11"/>
        <color theme="1"/>
        <rFont val="Calibri"/>
        <family val="2"/>
        <scheme val="minor"/>
      </rPr>
      <t>adaptée à la production réelle</t>
    </r>
  </si>
  <si>
    <t>Coût standard adapté à la production réelle</t>
  </si>
  <si>
    <t>=10500000-(120000*60)</t>
  </si>
  <si>
    <t>ECART VOLUME</t>
  </si>
  <si>
    <t>=(144000-120000)*60</t>
  </si>
  <si>
    <t>=10500000-8640000</t>
  </si>
  <si>
    <t>Ecart sur budget</t>
  </si>
  <si>
    <t>=10500000-8487500</t>
  </si>
  <si>
    <t>Ecart sur activité</t>
  </si>
  <si>
    <t>=(120000-145000)*8,5</t>
  </si>
  <si>
    <t>=8487500-(60*145000)</t>
  </si>
  <si>
    <t>Ecart sur rendement</t>
  </si>
  <si>
    <t>=(145000-(12000*12))*60</t>
  </si>
  <si>
    <t>Somme des 3  écarts</t>
  </si>
  <si>
    <t xml:space="preserve"> </t>
  </si>
  <si>
    <t>EXERCICE 4</t>
  </si>
  <si>
    <t>Plastique</t>
  </si>
  <si>
    <t>Composants</t>
  </si>
  <si>
    <t>Atelier</t>
  </si>
  <si>
    <t>COUT UNITAIRE PREETABLI D'UNE ENCEINTE</t>
  </si>
  <si>
    <t>Cout réel (3850)</t>
  </si>
  <si>
    <t>Cout préétabli adapté (3850)</t>
  </si>
  <si>
    <t>ECART GLOBAL -Favorable</t>
  </si>
  <si>
    <t>Nbre d'heure en +</t>
  </si>
  <si>
    <t>Activité normale</t>
  </si>
  <si>
    <t>Activité réelle</t>
  </si>
  <si>
    <t>Activité standard adaptée à la production réelle</t>
  </si>
  <si>
    <t>Coût standard adapté à la production réelle (3850 unités)</t>
  </si>
  <si>
    <t>=3534000-3542000</t>
  </si>
  <si>
    <t>=3534000-3580000</t>
  </si>
  <si>
    <t>=(16000-15500)*30</t>
  </si>
  <si>
    <t>=3580000-(230*15500)</t>
  </si>
  <si>
    <t>=(15500-15400)*230</t>
  </si>
  <si>
    <t>EXERCICE 5</t>
  </si>
  <si>
    <t>Matière 1ère</t>
  </si>
  <si>
    <t>250g</t>
  </si>
  <si>
    <t>Pot de verre</t>
  </si>
  <si>
    <t>Etiquette</t>
  </si>
  <si>
    <t>10mn</t>
  </si>
  <si>
    <t>Atelier préparation</t>
  </si>
  <si>
    <t>0,25 UO</t>
  </si>
  <si>
    <t>Atelier stérilisation</t>
  </si>
  <si>
    <t>1 UO</t>
  </si>
  <si>
    <t>Atelier Etiquetage</t>
  </si>
  <si>
    <t>COUT UNITAIRE STANDARD</t>
  </si>
  <si>
    <t>Préparation</t>
  </si>
  <si>
    <t>Stérilisation</t>
  </si>
  <si>
    <t>Etiquetage</t>
  </si>
  <si>
    <t>Kg préparé</t>
  </si>
  <si>
    <t>Pots stérilisé</t>
  </si>
  <si>
    <t>Pots étiquetés</t>
  </si>
  <si>
    <t>Nbre UO</t>
  </si>
  <si>
    <t xml:space="preserve">Question 1 </t>
  </si>
  <si>
    <t xml:space="preserve">Production réelle : </t>
  </si>
  <si>
    <t>COUT REEL</t>
  </si>
  <si>
    <t>COUT PREETABLI ADAPTE A LA PRODUCTION REELLE</t>
  </si>
  <si>
    <t>Matière 1ère (Kg)</t>
  </si>
  <si>
    <t>F</t>
  </si>
  <si>
    <t>D</t>
  </si>
  <si>
    <t>Question 2</t>
  </si>
  <si>
    <t>M. P</t>
  </si>
  <si>
    <t>Ecart total</t>
  </si>
  <si>
    <t>=33250-(8500*4)</t>
  </si>
  <si>
    <t>Ecart sur volume</t>
  </si>
  <si>
    <t>=(7820-8500)*4</t>
  </si>
  <si>
    <t>Ecart global</t>
  </si>
  <si>
    <t>E/ QTE</t>
  </si>
  <si>
    <t>E/ PRIX</t>
  </si>
  <si>
    <t>ACTIVITE REELLE</t>
  </si>
  <si>
    <t>ACTIVITE ADAPTEE</t>
  </si>
  <si>
    <t>Budget flexible</t>
  </si>
  <si>
    <t>1960 uo</t>
  </si>
  <si>
    <t>E/ Budget</t>
  </si>
  <si>
    <t>E/ Activité</t>
  </si>
  <si>
    <t>E/ Rendement</t>
  </si>
  <si>
    <t>4000€ / 2125 =&gt; 1,88€</t>
  </si>
  <si>
    <t>EXERCICE 6</t>
  </si>
  <si>
    <t>ECARTS SUR CA</t>
  </si>
  <si>
    <t>Prévu</t>
  </si>
  <si>
    <t>Réel</t>
  </si>
  <si>
    <t>ECART</t>
  </si>
  <si>
    <t>P. Vente</t>
  </si>
  <si>
    <t>CA</t>
  </si>
  <si>
    <t>Détaillants</t>
  </si>
  <si>
    <t>Supermarchés</t>
  </si>
  <si>
    <t xml:space="preserve">Question 1 : </t>
  </si>
  <si>
    <t>Ecart total sur CA</t>
  </si>
  <si>
    <t>Ecart sur détaillants</t>
  </si>
  <si>
    <t>Ecart sur Supermarchés</t>
  </si>
  <si>
    <t>Ecart sur prix</t>
  </si>
  <si>
    <t>Question 4</t>
  </si>
  <si>
    <t>Ecart / Volume des ventes  (14900 - 15000)*58,33€ =-5833€ DEF</t>
  </si>
  <si>
    <t>Ecart / Composition des ventes</t>
  </si>
  <si>
    <t>Total des ventes</t>
  </si>
  <si>
    <t>Quantité  Réelle</t>
  </si>
  <si>
    <t>Composition</t>
  </si>
  <si>
    <t>Répartition du réel(Composition * Volume du réel)</t>
  </si>
  <si>
    <t>Ecart</t>
  </si>
  <si>
    <t>Prix de vente prévu</t>
  </si>
  <si>
    <t>Détaillant : 10000 unités</t>
  </si>
  <si>
    <t>Supermarché : 5000 unités</t>
  </si>
  <si>
    <t>CV</t>
  </si>
  <si>
    <t>Question 1</t>
  </si>
  <si>
    <t>Marge prévue</t>
  </si>
  <si>
    <t>EXERCICE 7</t>
  </si>
  <si>
    <t>REELLE</t>
  </si>
  <si>
    <t>PREVISION</t>
  </si>
  <si>
    <t>E/MARGE GLOBAL</t>
  </si>
  <si>
    <t>Marge réelle unitaire</t>
  </si>
  <si>
    <t>Quantité réelle</t>
  </si>
  <si>
    <t>Marge réelle globale</t>
  </si>
  <si>
    <t>Quantité prévue</t>
  </si>
  <si>
    <t>Marge prévue globale</t>
  </si>
  <si>
    <t>Ecart / Marge global</t>
  </si>
  <si>
    <t>VISTA 100</t>
  </si>
  <si>
    <t>VISTA 110</t>
  </si>
  <si>
    <t>VISTA 120</t>
  </si>
  <si>
    <t>E/MARGE UNITAIRE</t>
  </si>
  <si>
    <t>Marge réelle</t>
  </si>
  <si>
    <t>Ecart / Marge unitaire</t>
  </si>
  <si>
    <t>E/QUANTITE</t>
  </si>
  <si>
    <t>Ecart / Quantité</t>
  </si>
  <si>
    <t>ECART / VOLUME</t>
  </si>
  <si>
    <t>E/ Composition</t>
  </si>
  <si>
    <t>Qté réelle</t>
  </si>
  <si>
    <t>% du Qté prévu</t>
  </si>
  <si>
    <t>Qté liée à la composition</t>
  </si>
  <si>
    <t>Ecart en quantité</t>
  </si>
  <si>
    <t>% réel</t>
  </si>
  <si>
    <t>ECART / COMPO</t>
  </si>
  <si>
    <t>5000/19000</t>
  </si>
  <si>
    <t>Vista 100</t>
  </si>
  <si>
    <t>8000/19000</t>
  </si>
  <si>
    <t>Vista 110</t>
  </si>
  <si>
    <t>6000/19000</t>
  </si>
  <si>
    <t>Vista 120</t>
  </si>
  <si>
    <t>A cause d'une volume vente moins impotant que prévu</t>
  </si>
  <si>
    <t>A cause d'une répartition défavorable des ventes vers des produits dont la marge est plus faible</t>
  </si>
  <si>
    <t>Marge unitaire moins élevée que prévue</t>
  </si>
  <si>
    <t>Remplissage à 100% de l'hôtel : 360 nuits * 40 chambres = 14400 nuits</t>
  </si>
  <si>
    <t>Année N-1</t>
  </si>
  <si>
    <t>Année N-2</t>
  </si>
  <si>
    <t>Prix</t>
  </si>
  <si>
    <t>Nb Nuits</t>
  </si>
  <si>
    <t>Basse saison</t>
  </si>
  <si>
    <t>Moyenne saison</t>
  </si>
  <si>
    <t>Haute saison</t>
  </si>
  <si>
    <t>TOTAL Nuits</t>
  </si>
  <si>
    <t>C°</t>
  </si>
  <si>
    <t>Adhésion</t>
  </si>
  <si>
    <t>CA N-1</t>
  </si>
  <si>
    <t>CA N-2</t>
  </si>
  <si>
    <t>Taux d'occupation</t>
  </si>
  <si>
    <t>Taux N-1</t>
  </si>
  <si>
    <t>9500/14400</t>
  </si>
  <si>
    <t>Taux N-2</t>
  </si>
  <si>
    <t>10288/14400</t>
  </si>
  <si>
    <t>E/ Quantité</t>
  </si>
  <si>
    <t>BS</t>
  </si>
  <si>
    <t>=(3040-3708)*95</t>
  </si>
  <si>
    <t>MS</t>
  </si>
  <si>
    <t>=(3610-3670)*125</t>
  </si>
  <si>
    <t>HS</t>
  </si>
  <si>
    <t>=(2850-2910)*148</t>
  </si>
  <si>
    <t>DEF</t>
  </si>
  <si>
    <t>Volume</t>
  </si>
  <si>
    <t>DEF    (9500-10288)*120,69</t>
  </si>
  <si>
    <t>N-2</t>
  </si>
  <si>
    <t>Ajusté (9500)</t>
  </si>
  <si>
    <t>Réel de N-1</t>
  </si>
  <si>
    <t>Prix N-2</t>
  </si>
  <si>
    <t>FAV</t>
  </si>
  <si>
    <t>Ecart / Prix</t>
  </si>
  <si>
    <t>Vérification</t>
  </si>
  <si>
    <t>(100-95)*3040</t>
  </si>
  <si>
    <t>E/Quantité</t>
  </si>
  <si>
    <t>(125-125)*3610</t>
  </si>
  <si>
    <t>E/Prix</t>
  </si>
  <si>
    <t>(150-148)*2850</t>
  </si>
  <si>
    <t>E/CA</t>
  </si>
  <si>
    <t>Question 6</t>
  </si>
  <si>
    <t>Question 7</t>
  </si>
  <si>
    <t>MS 40%</t>
  </si>
  <si>
    <t>BS 60%</t>
  </si>
  <si>
    <t xml:space="preserve">Nuits supplémentaires   : </t>
  </si>
  <si>
    <t>Question 8</t>
  </si>
  <si>
    <t>Sans la centrale</t>
  </si>
  <si>
    <t>Avec la centrale</t>
  </si>
  <si>
    <t>9500+1932</t>
  </si>
  <si>
    <t>Nb nuits maximum</t>
  </si>
  <si>
    <t>11432/14400</t>
  </si>
  <si>
    <t>EXERCICE 9</t>
  </si>
  <si>
    <t>Production</t>
  </si>
  <si>
    <t>ECARTS</t>
  </si>
  <si>
    <t>PRIX</t>
  </si>
  <si>
    <t>QUANTITE</t>
  </si>
  <si>
    <t>Commentaires</t>
  </si>
  <si>
    <t>CA PREVU</t>
  </si>
  <si>
    <t>CA REALISE</t>
  </si>
  <si>
    <t>Classique</t>
  </si>
  <si>
    <t>BIO</t>
  </si>
  <si>
    <t>Individuelle</t>
  </si>
  <si>
    <t>CLASSIQUE</t>
  </si>
  <si>
    <t>INDIVIDUELLE</t>
  </si>
  <si>
    <t xml:space="preserve">Volume </t>
  </si>
  <si>
    <t>(20846-20000)*10,50</t>
  </si>
  <si>
    <t>Qté de la composition prévue</t>
  </si>
  <si>
    <t>Ecarts en quantité</t>
  </si>
  <si>
    <t>Ecarts en €</t>
  </si>
  <si>
    <t>14000/20000</t>
  </si>
  <si>
    <t>Classique 70%</t>
  </si>
  <si>
    <t>2000/20000</t>
  </si>
  <si>
    <t>BIO 10%</t>
  </si>
  <si>
    <t>4000/20000</t>
  </si>
  <si>
    <t>Individuelle 20%</t>
  </si>
  <si>
    <t>Politique tarifaire catastrophique , mais volume supérieur et progression des ventes vers le produit dont le PV est le plus élevé</t>
  </si>
  <si>
    <t>Perte de part de marché sur la classique mais avancée notable dans la galette BIO</t>
  </si>
  <si>
    <t>5</t>
  </si>
  <si>
    <t>Jamais prendre en compte le coût réel de fabrication pour l'analyse de la marge permettant d'analyser la performance des commerciaux</t>
  </si>
  <si>
    <t>6</t>
  </si>
  <si>
    <t>Prix unitaire</t>
  </si>
  <si>
    <t>MONTANT</t>
  </si>
  <si>
    <t>Farine Bio</t>
  </si>
  <si>
    <t>Poudre amande</t>
  </si>
  <si>
    <t>Sucre</t>
  </si>
  <si>
    <t>Œuf</t>
  </si>
  <si>
    <t>Beurre</t>
  </si>
  <si>
    <t>Fève</t>
  </si>
  <si>
    <t>PRIX MOYEN REEL</t>
  </si>
  <si>
    <t>Couronne</t>
  </si>
  <si>
    <t>COUT DE REVIENT PREETABLI</t>
  </si>
  <si>
    <t>Emballage</t>
  </si>
  <si>
    <t>MARGE</t>
  </si>
  <si>
    <t>Main d’œuvre</t>
  </si>
  <si>
    <t>Charges indirectes</t>
  </si>
  <si>
    <t>COUT DE REVIENT</t>
  </si>
  <si>
    <t>Charges d'aprovisionnement (Service A)</t>
  </si>
  <si>
    <t>Matières premières</t>
  </si>
  <si>
    <t>Charges variables Approvisionnement</t>
  </si>
  <si>
    <t>Charges fixes Approvisionnement</t>
  </si>
  <si>
    <t>TOTAL Service A</t>
  </si>
  <si>
    <t>Charges de production (Service B)</t>
  </si>
  <si>
    <t>Charges fixes de production</t>
  </si>
  <si>
    <t>TOTAL Service B</t>
  </si>
  <si>
    <t>Charges de distribution (Service C)</t>
  </si>
  <si>
    <t>Commission</t>
  </si>
  <si>
    <t>Fraus de publicité (fixe)</t>
  </si>
  <si>
    <t>TOTAL Service C</t>
  </si>
  <si>
    <t>COUT DE REVIENT TOTAL</t>
  </si>
  <si>
    <t>RESULTAT</t>
  </si>
  <si>
    <t>1 Résultat de l'entreprise</t>
  </si>
  <si>
    <t>3 Proposition 2, résultat des 3 services</t>
  </si>
  <si>
    <t>2 Proposition 1, résultats des 3 services</t>
  </si>
  <si>
    <t>Repas</t>
  </si>
  <si>
    <t>QTE</t>
  </si>
  <si>
    <t>MARGES</t>
  </si>
  <si>
    <t>CHARGES F</t>
  </si>
  <si>
    <t>Magasin</t>
  </si>
  <si>
    <t>Usine</t>
  </si>
  <si>
    <t>CHARGES</t>
  </si>
  <si>
    <t>PCI / PV</t>
  </si>
  <si>
    <t>Charges</t>
  </si>
  <si>
    <t>CA Interne</t>
  </si>
  <si>
    <t>Résultat</t>
  </si>
  <si>
    <t>Coût de revient de la production</t>
  </si>
  <si>
    <t>PCI</t>
  </si>
  <si>
    <t xml:space="preserve">CA </t>
  </si>
  <si>
    <t>CF</t>
  </si>
  <si>
    <t xml:space="preserve">Coût variable </t>
  </si>
  <si>
    <t>PCI (1,55 *1,30)</t>
  </si>
  <si>
    <t>Exercice 13</t>
  </si>
  <si>
    <t xml:space="preserve">SITUATION ACTUELLE </t>
  </si>
  <si>
    <t>CA du centre A</t>
  </si>
  <si>
    <t>Charges variables du centre A</t>
  </si>
  <si>
    <t>Charges fixes du centre A</t>
  </si>
  <si>
    <t>Résultat du centre A</t>
  </si>
  <si>
    <t>Résultat du centre B</t>
  </si>
  <si>
    <t>RESULTAT DE LA SOCIETE</t>
  </si>
  <si>
    <t>Quation 1,a</t>
  </si>
  <si>
    <t>Exercice 14</t>
  </si>
  <si>
    <t>CENTRE A</t>
  </si>
  <si>
    <t>CENTRE B</t>
  </si>
  <si>
    <t>CA du produit X</t>
  </si>
  <si>
    <t>Charges variables du produit X</t>
  </si>
  <si>
    <t>Charges fixes du produit X</t>
  </si>
  <si>
    <t>Résultat du centre B sur la vente de X</t>
  </si>
  <si>
    <t xml:space="preserve">Résultat actuel du centre B </t>
  </si>
  <si>
    <t>Résultat du centre B (en intégrant le produit X)</t>
  </si>
  <si>
    <t>En cas de diversification vers la production du produit X</t>
  </si>
  <si>
    <t>Le résultat de la société est maintenant de 254000€. Il est donc en augmentation de 72000€. La société TRODAT a donc intérêt à produire et commercialiser le produit X.</t>
  </si>
  <si>
    <t>B refusera certainement le PCI à 600€. En effet ce PCI va rendre le centre B déficitaire. Il faudra donc trouver un PCI qui contentera à la fois le centre A mais aussi le centre B</t>
  </si>
  <si>
    <t xml:space="preserve">Question 2 </t>
  </si>
  <si>
    <t>Mauvaise stratégie,car le résultat global de la société est inférieur à celui du projet de diversification (254000€)</t>
  </si>
  <si>
    <t>P3  -&gt;  1P1 + 600€</t>
  </si>
  <si>
    <t>SITUATION ACTUELLE</t>
  </si>
  <si>
    <t>STRATEGIE ENVISAGEE</t>
  </si>
  <si>
    <t>Ventes de P1  (extérieur)</t>
  </si>
  <si>
    <t>Ventes de P3 (extérieur)</t>
  </si>
  <si>
    <t>TOTAL CA</t>
  </si>
  <si>
    <t>Charges variables (P1)</t>
  </si>
  <si>
    <t>Charges fixes (P1)</t>
  </si>
  <si>
    <t>Charges additionnelles (P3)</t>
  </si>
  <si>
    <t>TOTAL CHARGES</t>
  </si>
  <si>
    <t>RESULTATS</t>
  </si>
  <si>
    <t>VENTE 2400P1 SUR LE MARCHE EXTERIEUR</t>
  </si>
  <si>
    <t>VERIFICATION</t>
  </si>
  <si>
    <t>POUR C1</t>
  </si>
  <si>
    <t>POUR C2</t>
  </si>
  <si>
    <t>Ventes de P3 à C2</t>
  </si>
  <si>
    <t>Achat de P3 à C1</t>
  </si>
  <si>
    <t>EXERCICE 1</t>
  </si>
  <si>
    <t xml:space="preserve">Charges variables </t>
  </si>
  <si>
    <t xml:space="preserve"> 1 P1</t>
  </si>
  <si>
    <t>1  P2</t>
  </si>
  <si>
    <t>145  P1</t>
  </si>
  <si>
    <t>TOTAL DES CHARGES PREVUES DE P1</t>
  </si>
  <si>
    <t>Marge unitaire moyenne prévue</t>
  </si>
  <si>
    <t>D   '1812,20 * 12€</t>
  </si>
  <si>
    <t>Charges variables de production</t>
  </si>
  <si>
    <t>Quantité produite</t>
  </si>
  <si>
    <t>Coût variable unitaire</t>
  </si>
  <si>
    <t>PCI   + 30%</t>
  </si>
  <si>
    <t>Magasin 12000</t>
  </si>
  <si>
    <t>Usine 4000</t>
  </si>
  <si>
    <t>PCI : Coût variable + 30%</t>
  </si>
  <si>
    <t>C1</t>
  </si>
  <si>
    <t>C2</t>
  </si>
  <si>
    <t>Achats à C1</t>
  </si>
  <si>
    <t>Charges variables du P3</t>
  </si>
  <si>
    <t>Les charges de la période pour la production de P1 ont été de 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</si>
  <si>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M</t>
    </r>
  </si>
  <si>
    <t>: 5300€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</si>
  <si>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</t>
    </r>
  </si>
  <si>
    <t>: 1650€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</si>
  <si>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MOD Usinage</t>
    </r>
  </si>
  <si>
    <t>: 44600€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</si>
  <si>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MOD Montage</t>
    </r>
  </si>
  <si>
    <t>: 9870€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</si>
  <si>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Charges indirectes de production</t>
    </r>
  </si>
  <si>
    <t>: 22350€</t>
  </si>
  <si>
    <t>Non elles correspondent aux charges de la période.</t>
  </si>
  <si>
    <t>Charges réelles de la période</t>
  </si>
  <si>
    <t>: 83770€</t>
  </si>
  <si>
    <t>-Valorisation de l’encours final</t>
  </si>
  <si>
    <t>: - 4762.50€</t>
  </si>
  <si>
    <t>+Valorisation de l’encours initial</t>
  </si>
  <si>
    <t>: +6350.00</t>
  </si>
  <si>
    <t>Charges réelles de la production des 145 P1   =  85 357.50€</t>
  </si>
  <si>
    <t>4 Est-ce que l’entreprise a respecté ses prévisions ?</t>
  </si>
  <si>
    <t>5 Est que ces charges correspondent à la production des 145 P1 ?</t>
  </si>
  <si>
    <t>6 Comment retrouver les charges « réelles » de la production des 145 P1 ?</t>
  </si>
  <si>
    <t>MP A</t>
  </si>
  <si>
    <t>MP B</t>
  </si>
  <si>
    <t>COUT STANDARD</t>
  </si>
  <si>
    <t>Production de la période</t>
  </si>
  <si>
    <t>Etat d'achèvement des encours</t>
  </si>
  <si>
    <t>PF achevés</t>
  </si>
  <si>
    <t>Equivalent en cours initial</t>
  </si>
  <si>
    <t>Equivalent en cours final</t>
  </si>
  <si>
    <t>PF equivalent pour la période</t>
  </si>
  <si>
    <t>Informations réelle  de la période</t>
  </si>
  <si>
    <t>Coût réel de la production réelle</t>
  </si>
  <si>
    <t>Coût préétabli de la production réelle</t>
  </si>
  <si>
    <t>1425*30</t>
  </si>
  <si>
    <t>1282,50*15€</t>
  </si>
  <si>
    <t>285*36</t>
  </si>
  <si>
    <t>285*14</t>
  </si>
  <si>
    <t>1120*5</t>
  </si>
  <si>
    <t>700*2</t>
  </si>
  <si>
    <t>Quation 1,b</t>
  </si>
  <si>
    <t xml:space="preserve">P1 </t>
  </si>
  <si>
    <t>TOTAL 83770€ au lieu de 83 237.50€. Non-respect des charges</t>
  </si>
  <si>
    <t xml:space="preserve">Coût 1UO variable prévu : </t>
  </si>
  <si>
    <t>14200 (activité réelle)</t>
  </si>
  <si>
    <t>COUT PREETABLI ADAPTE A LA PRODUCTION REELLE (9230 echelles)</t>
  </si>
  <si>
    <t>P1 (100% de M &amp; N) + (50% MOD +charges indirectes)</t>
  </si>
  <si>
    <t>P2 (100% de M &amp; N) + (50% MOD +charges indirectes)</t>
  </si>
  <si>
    <r>
      <t xml:space="preserve">MP </t>
    </r>
    <r>
      <rPr>
        <b/>
        <sz val="11"/>
        <color rgb="FFFF0000"/>
        <rFont val="Wingdings"/>
        <charset val="2"/>
      </rPr>
      <t>à</t>
    </r>
    <r>
      <rPr>
        <b/>
        <sz val="11"/>
        <color rgb="FFFF0000"/>
        <rFont val="Calibri"/>
        <family val="2"/>
        <scheme val="minor"/>
      </rPr>
      <t xml:space="preserve">    2.5 * 8€  =  20€</t>
    </r>
  </si>
  <si>
    <r>
      <t xml:space="preserve">MOD </t>
    </r>
    <r>
      <rPr>
        <b/>
        <sz val="11"/>
        <color rgb="FFFF0000"/>
        <rFont val="Wingdings"/>
        <charset val="2"/>
      </rPr>
      <t>à</t>
    </r>
    <r>
      <rPr>
        <b/>
        <sz val="11"/>
        <color rgb="FFFF0000"/>
        <rFont val="Calibri"/>
        <family val="2"/>
        <scheme val="minor"/>
      </rPr>
      <t xml:space="preserve">  0.75 * 20€ = 15€</t>
    </r>
  </si>
  <si>
    <r>
      <t xml:space="preserve">Charges indirectes </t>
    </r>
    <r>
      <rPr>
        <b/>
        <sz val="11"/>
        <color rgb="FFFF0000"/>
        <rFont val="Wingdings"/>
        <charset val="2"/>
      </rPr>
      <t>à</t>
    </r>
    <r>
      <rPr>
        <b/>
        <sz val="11"/>
        <color rgb="FFFF0000"/>
        <rFont val="Calibri"/>
        <family val="2"/>
        <scheme val="minor"/>
      </rPr>
      <t xml:space="preserve">  0.75 * 15€ = 11.25€</t>
    </r>
  </si>
  <si>
    <r>
      <t xml:space="preserve">COUT STANDARD </t>
    </r>
    <r>
      <rPr>
        <b/>
        <sz val="11"/>
        <color rgb="FFFF0000"/>
        <rFont val="Wingdings"/>
        <charset val="2"/>
      </rPr>
      <t>à</t>
    </r>
    <r>
      <rPr>
        <b/>
        <sz val="11"/>
        <color rgb="FFFF0000"/>
        <rFont val="Calibri"/>
        <family val="2"/>
        <scheme val="minor"/>
      </rPr>
      <t xml:space="preserve">  20€ + 15€ + 11.25€  = 46.25€</t>
    </r>
  </si>
  <si>
    <t>1-	Calculez le coût budgété global pour une production normale</t>
  </si>
  <si>
    <t>BUDGET</t>
  </si>
  <si>
    <r>
      <t xml:space="preserve">2- 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Déterminez le coût budgété unitaire</t>
    </r>
  </si>
  <si>
    <t>3- En partant de l’hypothèse que l’appareil de production est capable de produire jusqu’à 12000 smartphones par mois, déterminez le nouveau coût budgétaire unitaire si la société décide de produite 11000 smartphones.</t>
  </si>
  <si>
    <t>EXERCICE 10</t>
  </si>
  <si>
    <t>EXERCICE 11</t>
  </si>
  <si>
    <t>EXERCICE 12</t>
  </si>
  <si>
    <t>Exercice 15</t>
  </si>
  <si>
    <t>Exercice 16</t>
  </si>
  <si>
    <t>Exercice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</si>
</sst>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6" formatCode="_-* #,##0.0000\ &quot;€&quot;_-;\-* #,##0.0000\ &quot;€&quot;_-;_-* &quot;-&quot;??\ &quot;€&quot;_-;_-@_-"/>
    <numFmt numFmtId="167" formatCode="#,##0.00\ &quot;€&quot;"/>
    <numFmt numFmtId="168" formatCode="#,##0\ &quot;€&quot;"/>
    <numFmt numFmtId="169" formatCode="_-* #,##0.000\ &quot;€&quot;_-;\-* #,##0.0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FF0000"/>
      <name val="Wingdings"/>
      <charset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44" fontId="2" fillId="0" borderId="1" xfId="1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0" fillId="0" borderId="1" xfId="0" applyNumberFormat="1" applyFill="1" applyBorder="1"/>
    <xf numFmtId="4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2" borderId="0" xfId="0" applyNumberFormat="1" applyFill="1"/>
    <xf numFmtId="0" fontId="0" fillId="0" borderId="1" xfId="0" applyBorder="1" applyAlignment="1">
      <alignment horizontal="center"/>
    </xf>
    <xf numFmtId="0" fontId="6" fillId="0" borderId="0" xfId="0" applyFont="1" applyFill="1" applyBorder="1"/>
    <xf numFmtId="9" fontId="6" fillId="0" borderId="0" xfId="0" applyNumberFormat="1" applyFont="1" applyFill="1" applyBorder="1"/>
    <xf numFmtId="44" fontId="6" fillId="0" borderId="0" xfId="0" applyNumberFormat="1" applyFont="1" applyFill="1" applyBorder="1"/>
    <xf numFmtId="44" fontId="0" fillId="4" borderId="1" xfId="0" applyNumberFormat="1" applyFill="1" applyBorder="1"/>
    <xf numFmtId="44" fontId="0" fillId="5" borderId="1" xfId="1" applyFont="1" applyFill="1" applyBorder="1"/>
    <xf numFmtId="0" fontId="2" fillId="2" borderId="1" xfId="0" applyFont="1" applyFill="1" applyBorder="1"/>
    <xf numFmtId="44" fontId="5" fillId="0" borderId="1" xfId="0" applyNumberFormat="1" applyFont="1" applyBorder="1"/>
    <xf numFmtId="0" fontId="0" fillId="0" borderId="0" xfId="0" quotePrefix="1"/>
    <xf numFmtId="0" fontId="0" fillId="5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44" fontId="0" fillId="6" borderId="1" xfId="0" applyNumberFormat="1" applyFill="1" applyBorder="1"/>
    <xf numFmtId="44" fontId="0" fillId="6" borderId="1" xfId="1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44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7" fillId="6" borderId="1" xfId="0" applyNumberFormat="1" applyFont="1" applyFill="1" applyBorder="1"/>
    <xf numFmtId="44" fontId="8" fillId="7" borderId="1" xfId="0" applyNumberFormat="1" applyFont="1" applyFill="1" applyBorder="1"/>
    <xf numFmtId="0" fontId="2" fillId="0" borderId="0" xfId="0" applyFont="1"/>
    <xf numFmtId="44" fontId="0" fillId="0" borderId="1" xfId="1" applyFont="1" applyBorder="1"/>
    <xf numFmtId="44" fontId="0" fillId="8" borderId="1" xfId="1" applyFont="1" applyFill="1" applyBorder="1"/>
    <xf numFmtId="44" fontId="11" fillId="0" borderId="1" xfId="1" applyFont="1" applyBorder="1"/>
    <xf numFmtId="0" fontId="2" fillId="0" borderId="0" xfId="0" applyFont="1" applyAlignment="1">
      <alignment horizontal="center"/>
    </xf>
    <xf numFmtId="44" fontId="11" fillId="0" borderId="0" xfId="1" applyFont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/>
    <xf numFmtId="44" fontId="12" fillId="2" borderId="1" xfId="0" applyNumberFormat="1" applyFont="1" applyFill="1" applyBorder="1"/>
    <xf numFmtId="0" fontId="0" fillId="0" borderId="1" xfId="0" quotePrefix="1" applyBorder="1"/>
    <xf numFmtId="165" fontId="9" fillId="0" borderId="0" xfId="1" applyNumberFormat="1" applyFont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0" fontId="0" fillId="0" borderId="0" xfId="0" applyAlignment="1">
      <alignment wrapText="1"/>
    </xf>
    <xf numFmtId="0" fontId="5" fillId="2" borderId="1" xfId="0" applyFont="1" applyFill="1" applyBorder="1"/>
    <xf numFmtId="44" fontId="5" fillId="2" borderId="1" xfId="1" applyFont="1" applyFill="1" applyBorder="1"/>
    <xf numFmtId="0" fontId="13" fillId="0" borderId="1" xfId="0" applyFont="1" applyBorder="1"/>
    <xf numFmtId="0" fontId="13" fillId="10" borderId="1" xfId="0" applyFont="1" applyFill="1" applyBorder="1"/>
    <xf numFmtId="44" fontId="5" fillId="10" borderId="1" xfId="1" applyFont="1" applyFill="1" applyBorder="1"/>
    <xf numFmtId="44" fontId="5" fillId="10" borderId="1" xfId="0" applyNumberFormat="1" applyFont="1" applyFill="1" applyBorder="1"/>
    <xf numFmtId="0" fontId="14" fillId="0" borderId="0" xfId="0" applyFont="1" applyAlignment="1">
      <alignment horizontal="center" vertical="center" wrapText="1"/>
    </xf>
    <xf numFmtId="0" fontId="5" fillId="10" borderId="1" xfId="0" applyFont="1" applyFill="1" applyBorder="1"/>
    <xf numFmtId="166" fontId="5" fillId="10" borderId="1" xfId="1" applyNumberFormat="1" applyFont="1" applyFill="1" applyBorder="1"/>
    <xf numFmtId="44" fontId="5" fillId="0" borderId="1" xfId="1" applyFont="1" applyFill="1" applyBorder="1"/>
    <xf numFmtId="44" fontId="13" fillId="2" borderId="1" xfId="0" applyNumberFormat="1" applyFont="1" applyFill="1" applyBorder="1"/>
    <xf numFmtId="44" fontId="5" fillId="2" borderId="1" xfId="0" applyNumberFormat="1" applyFont="1" applyFill="1" applyBorder="1"/>
    <xf numFmtId="44" fontId="15" fillId="2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17" fillId="0" borderId="1" xfId="0" applyFont="1" applyBorder="1"/>
    <xf numFmtId="44" fontId="0" fillId="2" borderId="1" xfId="1" applyFont="1" applyFill="1" applyBorder="1"/>
    <xf numFmtId="0" fontId="0" fillId="0" borderId="0" xfId="0" applyAlignment="1">
      <alignment horizontal="center"/>
    </xf>
    <xf numFmtId="44" fontId="0" fillId="0" borderId="0" xfId="1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1" xfId="1" applyFont="1" applyFill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165" fontId="0" fillId="0" borderId="1" xfId="1" applyNumberFormat="1" applyFont="1" applyBorder="1"/>
    <xf numFmtId="165" fontId="0" fillId="0" borderId="0" xfId="0" applyNumberFormat="1"/>
    <xf numFmtId="0" fontId="0" fillId="11" borderId="1" xfId="0" applyFill="1" applyBorder="1"/>
    <xf numFmtId="0" fontId="0" fillId="11" borderId="5" xfId="0" applyFill="1" applyBorder="1"/>
    <xf numFmtId="165" fontId="0" fillId="0" borderId="1" xfId="0" applyNumberFormat="1" applyBorder="1"/>
    <xf numFmtId="165" fontId="0" fillId="11" borderId="5" xfId="0" applyNumberFormat="1" applyFill="1" applyBorder="1"/>
    <xf numFmtId="165" fontId="0" fillId="11" borderId="5" xfId="1" applyNumberFormat="1" applyFont="1" applyFill="1" applyBorder="1"/>
    <xf numFmtId="165" fontId="2" fillId="0" borderId="0" xfId="1" applyNumberFormat="1" applyFont="1"/>
    <xf numFmtId="165" fontId="2" fillId="11" borderId="5" xfId="1" applyNumberFormat="1" applyFont="1" applyFill="1" applyBorder="1"/>
    <xf numFmtId="0" fontId="0" fillId="11" borderId="6" xfId="0" applyFill="1" applyBorder="1"/>
    <xf numFmtId="165" fontId="0" fillId="0" borderId="0" xfId="1" applyNumberFormat="1" applyFont="1"/>
    <xf numFmtId="0" fontId="2" fillId="10" borderId="1" xfId="0" applyFont="1" applyFill="1" applyBorder="1"/>
    <xf numFmtId="165" fontId="2" fillId="10" borderId="1" xfId="0" applyNumberFormat="1" applyFont="1" applyFill="1" applyBorder="1"/>
    <xf numFmtId="165" fontId="6" fillId="0" borderId="0" xfId="0" applyNumberFormat="1" applyFont="1"/>
    <xf numFmtId="165" fontId="2" fillId="2" borderId="1" xfId="0" applyNumberFormat="1" applyFont="1" applyFill="1" applyBorder="1"/>
    <xf numFmtId="0" fontId="2" fillId="2" borderId="0" xfId="0" quotePrefix="1" applyFont="1" applyFill="1"/>
    <xf numFmtId="0" fontId="2" fillId="2" borderId="0" xfId="0" applyFont="1" applyFill="1"/>
    <xf numFmtId="165" fontId="5" fillId="0" borderId="1" xfId="0" applyNumberFormat="1" applyFont="1" applyBorder="1"/>
    <xf numFmtId="0" fontId="5" fillId="0" borderId="0" xfId="0" quotePrefix="1" applyFont="1"/>
    <xf numFmtId="165" fontId="5" fillId="0" borderId="1" xfId="1" applyNumberFormat="1" applyFont="1" applyBorder="1"/>
    <xf numFmtId="0" fontId="5" fillId="10" borderId="0" xfId="0" quotePrefix="1" applyFont="1" applyFill="1"/>
    <xf numFmtId="0" fontId="6" fillId="10" borderId="0" xfId="0" applyFont="1" applyFill="1"/>
    <xf numFmtId="0" fontId="0" fillId="10" borderId="1" xfId="0" applyFill="1" applyBorder="1"/>
    <xf numFmtId="44" fontId="0" fillId="10" borderId="1" xfId="1" applyFont="1" applyFill="1" applyBorder="1"/>
    <xf numFmtId="0" fontId="6" fillId="0" borderId="2" xfId="0" applyFont="1" applyBorder="1"/>
    <xf numFmtId="0" fontId="5" fillId="0" borderId="2" xfId="0" applyFont="1" applyBorder="1"/>
    <xf numFmtId="0" fontId="5" fillId="2" borderId="5" xfId="0" applyFont="1" applyFill="1" applyBorder="1"/>
    <xf numFmtId="165" fontId="5" fillId="2" borderId="5" xfId="0" applyNumberFormat="1" applyFont="1" applyFill="1" applyBorder="1"/>
    <xf numFmtId="165" fontId="5" fillId="2" borderId="5" xfId="1" applyNumberFormat="1" applyFont="1" applyFill="1" applyBorder="1"/>
    <xf numFmtId="0" fontId="20" fillId="0" borderId="1" xfId="0" applyFont="1" applyBorder="1"/>
    <xf numFmtId="165" fontId="20" fillId="0" borderId="1" xfId="0" applyNumberFormat="1" applyFont="1" applyBorder="1"/>
    <xf numFmtId="165" fontId="13" fillId="2" borderId="5" xfId="1" applyNumberFormat="1" applyFont="1" applyFill="1" applyBorder="1"/>
    <xf numFmtId="0" fontId="18" fillId="0" borderId="0" xfId="0" applyFont="1"/>
    <xf numFmtId="0" fontId="11" fillId="2" borderId="0" xfId="0" applyFont="1" applyFill="1"/>
    <xf numFmtId="44" fontId="0" fillId="12" borderId="1" xfId="1" applyFont="1" applyFill="1" applyBorder="1"/>
    <xf numFmtId="44" fontId="0" fillId="12" borderId="1" xfId="0" applyNumberFormat="1" applyFill="1" applyBorder="1"/>
    <xf numFmtId="166" fontId="0" fillId="0" borderId="1" xfId="1" applyNumberFormat="1" applyFont="1" applyFill="1" applyBorder="1"/>
    <xf numFmtId="0" fontId="0" fillId="12" borderId="1" xfId="0" applyFill="1" applyBorder="1"/>
    <xf numFmtId="44" fontId="2" fillId="2" borderId="1" xfId="1" applyFont="1" applyFill="1" applyBorder="1"/>
    <xf numFmtId="44" fontId="2" fillId="0" borderId="0" xfId="0" applyNumberFormat="1" applyFont="1"/>
    <xf numFmtId="0" fontId="13" fillId="0" borderId="0" xfId="0" applyFont="1"/>
    <xf numFmtId="0" fontId="5" fillId="13" borderId="1" xfId="0" applyFont="1" applyFill="1" applyBorder="1"/>
    <xf numFmtId="0" fontId="5" fillId="13" borderId="0" xfId="0" applyFont="1" applyFill="1"/>
    <xf numFmtId="0" fontId="2" fillId="3" borderId="1" xfId="0" applyFont="1" applyFill="1" applyBorder="1"/>
    <xf numFmtId="44" fontId="2" fillId="3" borderId="1" xfId="0" applyNumberFormat="1" applyFont="1" applyFill="1" applyBorder="1"/>
    <xf numFmtId="44" fontId="2" fillId="10" borderId="1" xfId="0" applyNumberFormat="1" applyFont="1" applyFill="1" applyBorder="1"/>
    <xf numFmtId="0" fontId="2" fillId="10" borderId="3" xfId="0" applyFont="1" applyFill="1" applyBorder="1"/>
    <xf numFmtId="44" fontId="2" fillId="3" borderId="1" xfId="1" applyFont="1" applyFill="1" applyBorder="1"/>
    <xf numFmtId="44" fontId="2" fillId="10" borderId="1" xfId="1" applyFont="1" applyFill="1" applyBorder="1"/>
    <xf numFmtId="4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0" fontId="0" fillId="0" borderId="1" xfId="2" applyNumberFormat="1" applyFont="1" applyBorder="1"/>
    <xf numFmtId="1" fontId="10" fillId="0" borderId="1" xfId="0" applyNumberFormat="1" applyFont="1" applyBorder="1"/>
    <xf numFmtId="1" fontId="0" fillId="0" borderId="1" xfId="0" applyNumberFormat="1" applyBorder="1"/>
    <xf numFmtId="0" fontId="0" fillId="0" borderId="3" xfId="0" applyBorder="1"/>
    <xf numFmtId="9" fontId="0" fillId="0" borderId="1" xfId="2" applyFont="1" applyBorder="1"/>
    <xf numFmtId="44" fontId="0" fillId="0" borderId="5" xfId="0" applyNumberFormat="1" applyBorder="1"/>
    <xf numFmtId="44" fontId="10" fillId="0" borderId="0" xfId="0" applyNumberFormat="1" applyFont="1"/>
    <xf numFmtId="44" fontId="0" fillId="0" borderId="0" xfId="1" applyFont="1"/>
    <xf numFmtId="1" fontId="5" fillId="0" borderId="1" xfId="0" applyNumberFormat="1" applyFont="1" applyBorder="1"/>
    <xf numFmtId="1" fontId="0" fillId="2" borderId="1" xfId="0" applyNumberFormat="1" applyFill="1" applyBorder="1"/>
    <xf numFmtId="0" fontId="0" fillId="0" borderId="8" xfId="0" applyBorder="1"/>
    <xf numFmtId="1" fontId="21" fillId="0" borderId="0" xfId="0" applyNumberFormat="1" applyFont="1"/>
    <xf numFmtId="0" fontId="21" fillId="0" borderId="0" xfId="0" applyFont="1"/>
    <xf numFmtId="44" fontId="11" fillId="4" borderId="0" xfId="0" applyNumberFormat="1" applyFont="1" applyFill="1"/>
    <xf numFmtId="1" fontId="0" fillId="0" borderId="0" xfId="0" applyNumberFormat="1"/>
    <xf numFmtId="44" fontId="5" fillId="15" borderId="1" xfId="1" applyFont="1" applyFill="1" applyBorder="1"/>
    <xf numFmtId="1" fontId="5" fillId="15" borderId="1" xfId="0" applyNumberFormat="1" applyFont="1" applyFill="1" applyBorder="1"/>
    <xf numFmtId="44" fontId="16" fillId="9" borderId="0" xfId="0" applyNumberFormat="1" applyFont="1" applyFill="1"/>
    <xf numFmtId="20" fontId="2" fillId="0" borderId="1" xfId="0" applyNumberFormat="1" applyFont="1" applyBorder="1" applyAlignment="1">
      <alignment horizontal="center"/>
    </xf>
    <xf numFmtId="0" fontId="5" fillId="15" borderId="1" xfId="1" applyNumberFormat="1" applyFont="1" applyFill="1" applyBorder="1"/>
    <xf numFmtId="0" fontId="0" fillId="16" borderId="0" xfId="0" applyFill="1"/>
    <xf numFmtId="44" fontId="0" fillId="16" borderId="0" xfId="1" applyFont="1" applyFill="1"/>
    <xf numFmtId="10" fontId="0" fillId="0" borderId="1" xfId="0" applyNumberFormat="1" applyBorder="1"/>
    <xf numFmtId="10" fontId="0" fillId="0" borderId="0" xfId="2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4" fontId="2" fillId="14" borderId="1" xfId="0" applyNumberFormat="1" applyFont="1" applyFill="1" applyBorder="1"/>
    <xf numFmtId="10" fontId="0" fillId="0" borderId="0" xfId="0" applyNumberFormat="1" applyAlignment="1">
      <alignment horizontal="center"/>
    </xf>
    <xf numFmtId="0" fontId="0" fillId="17" borderId="0" xfId="0" applyFill="1"/>
    <xf numFmtId="44" fontId="0" fillId="17" borderId="0" xfId="0" applyNumberFormat="1" applyFill="1"/>
    <xf numFmtId="10" fontId="2" fillId="9" borderId="0" xfId="2" applyNumberFormat="1" applyFont="1" applyFill="1" applyAlignment="1">
      <alignment horizontal="center"/>
    </xf>
    <xf numFmtId="0" fontId="0" fillId="9" borderId="0" xfId="0" quotePrefix="1" applyFill="1"/>
    <xf numFmtId="0" fontId="0" fillId="9" borderId="0" xfId="0" applyFill="1"/>
    <xf numFmtId="44" fontId="0" fillId="0" borderId="0" xfId="1" applyFont="1" applyFill="1"/>
    <xf numFmtId="10" fontId="2" fillId="9" borderId="0" xfId="0" applyNumberFormat="1" applyFont="1" applyFill="1" applyAlignment="1">
      <alignment horizontal="center"/>
    </xf>
    <xf numFmtId="3" fontId="0" fillId="0" borderId="0" xfId="0" applyNumberFormat="1"/>
    <xf numFmtId="0" fontId="2" fillId="0" borderId="0" xfId="0" applyFont="1" applyFill="1" applyAlignment="1">
      <alignment horizontal="center"/>
    </xf>
    <xf numFmtId="9" fontId="0" fillId="0" borderId="0" xfId="0" applyNumberFormat="1"/>
    <xf numFmtId="2" fontId="0" fillId="0" borderId="0" xfId="0" applyNumberFormat="1"/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167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6" fontId="0" fillId="17" borderId="0" xfId="0" applyNumberFormat="1" applyFill="1"/>
    <xf numFmtId="167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167" fontId="5" fillId="0" borderId="0" xfId="0" applyNumberFormat="1" applyFont="1"/>
    <xf numFmtId="0" fontId="10" fillId="0" borderId="0" xfId="0" applyFont="1" applyAlignment="1">
      <alignment horizontal="center"/>
    </xf>
    <xf numFmtId="6" fontId="0" fillId="0" borderId="0" xfId="0" applyNumberFormat="1"/>
    <xf numFmtId="10" fontId="0" fillId="0" borderId="0" xfId="2" applyNumberFormat="1" applyFont="1"/>
    <xf numFmtId="0" fontId="0" fillId="2" borderId="0" xfId="0" quotePrefix="1" applyFill="1" applyAlignment="1">
      <alignment horizontal="center"/>
    </xf>
    <xf numFmtId="167" fontId="0" fillId="0" borderId="1" xfId="0" applyNumberFormat="1" applyBorder="1"/>
    <xf numFmtId="167" fontId="0" fillId="0" borderId="1" xfId="0" quotePrefix="1" applyNumberFormat="1" applyBorder="1"/>
    <xf numFmtId="0" fontId="0" fillId="0" borderId="0" xfId="0" applyAlignment="1">
      <alignment horizontal="center" vertical="center" wrapText="1"/>
    </xf>
    <xf numFmtId="167" fontId="0" fillId="2" borderId="1" xfId="0" applyNumberFormat="1" applyFill="1" applyBorder="1"/>
    <xf numFmtId="0" fontId="10" fillId="0" borderId="1" xfId="0" applyFont="1" applyBorder="1" applyAlignment="1">
      <alignment horizontal="center"/>
    </xf>
    <xf numFmtId="167" fontId="5" fillId="18" borderId="0" xfId="0" applyNumberFormat="1" applyFont="1" applyFill="1"/>
    <xf numFmtId="167" fontId="6" fillId="0" borderId="0" xfId="0" applyNumberFormat="1" applyFont="1"/>
    <xf numFmtId="0" fontId="6" fillId="0" borderId="0" xfId="0" applyFont="1" applyAlignment="1">
      <alignment horizontal="center"/>
    </xf>
    <xf numFmtId="167" fontId="13" fillId="18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0" fontId="5" fillId="6" borderId="1" xfId="2" applyNumberFormat="1" applyFont="1" applyFill="1" applyBorder="1" applyAlignment="1">
      <alignment horizontal="center"/>
    </xf>
    <xf numFmtId="167" fontId="5" fillId="0" borderId="1" xfId="0" applyNumberFormat="1" applyFont="1" applyBorder="1"/>
    <xf numFmtId="168" fontId="5" fillId="0" borderId="1" xfId="0" applyNumberFormat="1" applyFont="1" applyBorder="1"/>
    <xf numFmtId="9" fontId="5" fillId="6" borderId="1" xfId="2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8" fontId="5" fillId="18" borderId="1" xfId="0" applyNumberFormat="1" applyFont="1" applyFill="1" applyBorder="1"/>
    <xf numFmtId="0" fontId="13" fillId="0" borderId="0" xfId="0" applyFont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" fillId="18" borderId="0" xfId="0" applyFont="1" applyFill="1"/>
    <xf numFmtId="167" fontId="2" fillId="18" borderId="0" xfId="0" applyNumberFormat="1" applyFont="1" applyFill="1"/>
    <xf numFmtId="167" fontId="0" fillId="0" borderId="0" xfId="0" applyNumberFormat="1"/>
    <xf numFmtId="0" fontId="0" fillId="17" borderId="1" xfId="0" applyFill="1" applyBorder="1"/>
    <xf numFmtId="0" fontId="2" fillId="9" borderId="1" xfId="0" applyFont="1" applyFill="1" applyBorder="1"/>
    <xf numFmtId="0" fontId="10" fillId="0" borderId="1" xfId="0" quotePrefix="1" applyFont="1" applyBorder="1" applyAlignment="1">
      <alignment horizontal="center"/>
    </xf>
    <xf numFmtId="10" fontId="2" fillId="17" borderId="1" xfId="2" applyNumberFormat="1" applyFont="1" applyFill="1" applyBorder="1"/>
    <xf numFmtId="0" fontId="0" fillId="0" borderId="0" xfId="0" quotePrefix="1" applyAlignment="1">
      <alignment horizontal="center"/>
    </xf>
    <xf numFmtId="0" fontId="0" fillId="0" borderId="9" xfId="0" applyBorder="1"/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horizontal="right" vertical="center"/>
    </xf>
    <xf numFmtId="0" fontId="23" fillId="0" borderId="13" xfId="0" applyFont="1" applyBorder="1" applyAlignment="1">
      <alignment vertical="center"/>
    </xf>
    <xf numFmtId="44" fontId="14" fillId="2" borderId="1" xfId="1" applyFont="1" applyFill="1" applyBorder="1"/>
    <xf numFmtId="44" fontId="12" fillId="0" borderId="1" xfId="0" applyNumberFormat="1" applyFont="1" applyBorder="1"/>
    <xf numFmtId="0" fontId="12" fillId="0" borderId="1" xfId="0" applyFont="1" applyBorder="1"/>
    <xf numFmtId="44" fontId="12" fillId="14" borderId="1" xfId="0" applyNumberFormat="1" applyFont="1" applyFill="1" applyBorder="1"/>
    <xf numFmtId="44" fontId="5" fillId="0" borderId="1" xfId="0" applyNumberFormat="1" applyFont="1" applyBorder="1" applyAlignment="1">
      <alignment horizontal="center"/>
    </xf>
    <xf numFmtId="44" fontId="2" fillId="2" borderId="0" xfId="1" applyFont="1" applyFill="1"/>
    <xf numFmtId="0" fontId="0" fillId="0" borderId="1" xfId="1" applyNumberFormat="1" applyFont="1" applyBorder="1"/>
    <xf numFmtId="2" fontId="0" fillId="0" borderId="1" xfId="2" applyNumberFormat="1" applyFont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4" fillId="0" borderId="13" xfId="0" applyFont="1" applyBorder="1" applyAlignment="1">
      <alignment horizontal="right" vertical="center"/>
    </xf>
    <xf numFmtId="6" fontId="24" fillId="0" borderId="13" xfId="0" applyNumberFormat="1" applyFont="1" applyBorder="1" applyAlignment="1">
      <alignment horizontal="right" vertical="center"/>
    </xf>
    <xf numFmtId="6" fontId="23" fillId="0" borderId="13" xfId="0" applyNumberFormat="1" applyFont="1" applyBorder="1" applyAlignment="1">
      <alignment horizontal="right" vertical="center"/>
    </xf>
    <xf numFmtId="0" fontId="25" fillId="19" borderId="12" xfId="0" applyFont="1" applyFill="1" applyBorder="1" applyAlignment="1">
      <alignment vertical="center"/>
    </xf>
    <xf numFmtId="0" fontId="25" fillId="19" borderId="13" xfId="0" applyFont="1" applyFill="1" applyBorder="1" applyAlignment="1">
      <alignment vertical="center"/>
    </xf>
    <xf numFmtId="6" fontId="25" fillId="19" borderId="13" xfId="0" applyNumberFormat="1" applyFont="1" applyFill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8" fontId="0" fillId="0" borderId="1" xfId="0" applyNumberFormat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44" fontId="0" fillId="20" borderId="1" xfId="1" applyFont="1" applyFill="1" applyBorder="1"/>
    <xf numFmtId="44" fontId="14" fillId="2" borderId="0" xfId="0" applyNumberFormat="1" applyFont="1" applyFill="1"/>
    <xf numFmtId="0" fontId="0" fillId="0" borderId="0" xfId="0" applyAlignment="1">
      <alignment horizontal="left"/>
    </xf>
    <xf numFmtId="44" fontId="12" fillId="2" borderId="1" xfId="1" applyFont="1" applyFill="1" applyBorder="1"/>
    <xf numFmtId="0" fontId="2" fillId="21" borderId="0" xfId="0" applyFont="1" applyFill="1" applyAlignment="1">
      <alignment horizontal="right"/>
    </xf>
    <xf numFmtId="0" fontId="2" fillId="21" borderId="0" xfId="0" applyFont="1" applyFill="1" applyAlignment="1">
      <alignment horizontal="left"/>
    </xf>
    <xf numFmtId="44" fontId="2" fillId="20" borderId="1" xfId="1" applyFont="1" applyFill="1" applyBorder="1"/>
    <xf numFmtId="0" fontId="0" fillId="21" borderId="0" xfId="0" applyFill="1" applyAlignment="1">
      <alignment horizontal="center"/>
    </xf>
    <xf numFmtId="169" fontId="0" fillId="0" borderId="1" xfId="1" applyNumberFormat="1" applyFont="1" applyBorder="1"/>
    <xf numFmtId="6" fontId="23" fillId="0" borderId="1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14" borderId="1" xfId="0" applyFill="1" applyBorder="1" applyAlignment="1">
      <alignment horizontal="center"/>
    </xf>
    <xf numFmtId="165" fontId="0" fillId="2" borderId="1" xfId="1" applyNumberFormat="1" applyFont="1" applyFill="1" applyBorder="1"/>
    <xf numFmtId="0" fontId="0" fillId="14" borderId="1" xfId="0" applyFill="1" applyBorder="1"/>
    <xf numFmtId="165" fontId="0" fillId="14" borderId="1" xfId="1" applyNumberFormat="1" applyFont="1" applyFill="1" applyBorder="1"/>
    <xf numFmtId="165" fontId="2" fillId="2" borderId="1" xfId="1" applyNumberFormat="1" applyFont="1" applyFill="1" applyBorder="1"/>
    <xf numFmtId="0" fontId="2" fillId="14" borderId="1" xfId="0" applyFont="1" applyFill="1" applyBorder="1"/>
    <xf numFmtId="165" fontId="2" fillId="14" borderId="1" xfId="1" applyNumberFormat="1" applyFont="1" applyFill="1" applyBorder="1"/>
    <xf numFmtId="9" fontId="0" fillId="0" borderId="0" xfId="2" applyFont="1"/>
    <xf numFmtId="44" fontId="2" fillId="6" borderId="1" xfId="0" applyNumberFormat="1" applyFont="1" applyFill="1" applyBorder="1"/>
    <xf numFmtId="44" fontId="5" fillId="2" borderId="1" xfId="1" applyNumberFormat="1" applyFont="1" applyFill="1" applyBorder="1"/>
    <xf numFmtId="44" fontId="5" fillId="8" borderId="1" xfId="1" applyFont="1" applyFill="1" applyBorder="1"/>
    <xf numFmtId="0" fontId="2" fillId="0" borderId="0" xfId="0" applyFont="1" applyBorder="1"/>
    <xf numFmtId="44" fontId="2" fillId="0" borderId="0" xfId="0" applyNumberFormat="1" applyFont="1" applyBorder="1"/>
    <xf numFmtId="44" fontId="2" fillId="0" borderId="0" xfId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4" fontId="5" fillId="0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44" fontId="2" fillId="0" borderId="7" xfId="0" applyNumberFormat="1" applyFont="1" applyBorder="1"/>
    <xf numFmtId="0" fontId="2" fillId="0" borderId="17" xfId="0" applyFont="1" applyBorder="1"/>
    <xf numFmtId="44" fontId="2" fillId="0" borderId="7" xfId="0" applyNumberFormat="1" applyFont="1" applyBorder="1" applyAlignment="1">
      <alignment horizontal="center"/>
    </xf>
    <xf numFmtId="0" fontId="2" fillId="0" borderId="22" xfId="0" applyFont="1" applyBorder="1"/>
    <xf numFmtId="44" fontId="2" fillId="0" borderId="22" xfId="0" applyNumberFormat="1" applyFont="1" applyBorder="1"/>
    <xf numFmtId="0" fontId="2" fillId="0" borderId="19" xfId="0" applyFont="1" applyBorder="1"/>
    <xf numFmtId="44" fontId="2" fillId="0" borderId="22" xfId="0" applyNumberFormat="1" applyFont="1" applyBorder="1" applyAlignment="1">
      <alignment horizontal="center"/>
    </xf>
    <xf numFmtId="44" fontId="5" fillId="0" borderId="1" xfId="1" applyNumberFormat="1" applyFont="1" applyBorder="1"/>
    <xf numFmtId="44" fontId="0" fillId="2" borderId="0" xfId="0" applyNumberFormat="1" applyFill="1" applyAlignment="1">
      <alignment horizontal="center"/>
    </xf>
    <xf numFmtId="44" fontId="1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44" fontId="2" fillId="0" borderId="0" xfId="1" applyFont="1" applyFill="1" applyBorder="1"/>
    <xf numFmtId="44" fontId="0" fillId="0" borderId="0" xfId="1" applyFont="1" applyFill="1" applyBorder="1"/>
    <xf numFmtId="44" fontId="14" fillId="0" borderId="0" xfId="0" applyNumberFormat="1" applyFont="1" applyFill="1"/>
    <xf numFmtId="0" fontId="0" fillId="0" borderId="0" xfId="0" applyFill="1"/>
    <xf numFmtId="44" fontId="0" fillId="2" borderId="0" xfId="1" applyFont="1" applyFill="1"/>
    <xf numFmtId="165" fontId="0" fillId="0" borderId="3" xfId="1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26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10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9" fontId="0" fillId="0" borderId="1" xfId="0" applyNumberFormat="1" applyBorder="1"/>
    <xf numFmtId="0" fontId="0" fillId="2" borderId="1" xfId="0" applyFill="1" applyBorder="1" applyAlignment="1">
      <alignment wrapText="1"/>
    </xf>
    <xf numFmtId="8" fontId="0" fillId="0" borderId="0" xfId="0" applyNumberFormat="1"/>
    <xf numFmtId="44" fontId="16" fillId="0" borderId="0" xfId="0" applyNumberFormat="1" applyFont="1" applyFill="1"/>
    <xf numFmtId="44" fontId="0" fillId="0" borderId="0" xfId="0" applyNumberFormat="1" applyFill="1"/>
    <xf numFmtId="0" fontId="2" fillId="0" borderId="1" xfId="0" applyFont="1" applyFill="1" applyBorder="1" applyAlignment="1">
      <alignment horizont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6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11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/>
    </xf>
    <xf numFmtId="44" fontId="5" fillId="0" borderId="4" xfId="0" applyNumberFormat="1" applyFont="1" applyBorder="1" applyAlignment="1">
      <alignment horizontal="center"/>
    </xf>
    <xf numFmtId="44" fontId="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7" fontId="0" fillId="8" borderId="1" xfId="1" applyNumberFormat="1" applyFont="1" applyFill="1" applyBorder="1"/>
    <xf numFmtId="44" fontId="2" fillId="13" borderId="0" xfId="1" applyFont="1" applyFill="1" applyBorder="1"/>
    <xf numFmtId="0" fontId="14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10" fillId="0" borderId="1" xfId="0" applyFont="1" applyBorder="1"/>
    <xf numFmtId="0" fontId="10" fillId="0" borderId="1" xfId="1" applyNumberFormat="1" applyFont="1" applyBorder="1"/>
    <xf numFmtId="168" fontId="10" fillId="0" borderId="1" xfId="1" applyNumberFormat="1" applyFont="1" applyBorder="1"/>
    <xf numFmtId="165" fontId="10" fillId="0" borderId="1" xfId="0" applyNumberFormat="1" applyFont="1" applyBorder="1"/>
    <xf numFmtId="165" fontId="10" fillId="0" borderId="0" xfId="0" applyNumberFormat="1" applyFont="1"/>
    <xf numFmtId="0" fontId="10" fillId="0" borderId="0" xfId="0" applyFont="1"/>
    <xf numFmtId="165" fontId="10" fillId="0" borderId="0" xfId="1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665480</xdr:colOff>
      <xdr:row>25</xdr:row>
      <xdr:rowOff>213360</xdr:rowOff>
    </xdr:from>
    <xdr:to>
      <xdr:col>2</xdr:col>
      <xdr:colOff>736600</xdr:colOff>
      <xdr:row>27</xdr:row>
      <xdr:rowOff>10160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A07B726-25B7-464B-99EA-17A336C9B07C}"/>
            </a:ext>
          </a:extLst>
        </xdr:cNvPr>
        <xdr:cNvCxnSpPr/>
      </xdr:nvCxnSpPr>
      <xdr:spPr>
        <a:xfrm flipH="1">
          <a:off x="3999230" y="5499735"/>
          <a:ext cx="71120" cy="196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1219202</xdr:colOff>
      <xdr:row>7</xdr:row>
      <xdr:rowOff>114300</xdr:rowOff>
    </xdr:from>
    <xdr:to>
      <xdr:col>8</xdr:col>
      <xdr:colOff>435428</xdr:colOff>
      <xdr:row>14</xdr:row>
      <xdr:rowOff>65315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31B767A6-8030-4AEC-AA5C-CC6CE2D706FE}"/>
            </a:ext>
          </a:extLst>
        </xdr:cNvPr>
        <xdr:cNvCxnSpPr/>
      </xdr:nvCxnSpPr>
      <xdr:spPr>
        <a:xfrm flipH="1">
          <a:off x="3114677" y="1647825"/>
          <a:ext cx="6217101" cy="16655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416560</xdr:colOff>
      <xdr:row>26</xdr:row>
      <xdr:rowOff>167640</xdr:rowOff>
    </xdr:from>
    <xdr:to>
      <xdr:col>8</xdr:col>
      <xdr:colOff>157480</xdr:colOff>
      <xdr:row>30</xdr:row>
      <xdr:rowOff>66040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5879E6E-26AB-4E07-B99B-ADB66956D856}"/>
            </a:ext>
          </a:extLst>
        </xdr:cNvPr>
        <xdr:cNvCxnSpPr/>
      </xdr:nvCxnSpPr>
      <xdr:spPr>
        <a:xfrm flipH="1">
          <a:off x="5026660" y="4939665"/>
          <a:ext cx="3303270" cy="660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33338</xdr:colOff>
      <xdr:row>22</xdr:row>
      <xdr:rowOff>352425</xdr:rowOff>
    </xdr:from>
    <xdr:to>
      <xdr:col>6</xdr:col>
      <xdr:colOff>552450</xdr:colOff>
      <xdr:row>26</xdr:row>
      <xdr:rowOff>114300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3C18544B-E553-430B-A2BB-92888357456A}"/>
            </a:ext>
          </a:extLst>
        </xdr:cNvPr>
        <xdr:cNvCxnSpPr/>
      </xdr:nvCxnSpPr>
      <xdr:spPr>
        <a:xfrm flipV="1">
          <a:off x="6386513" y="3419475"/>
          <a:ext cx="1414462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14288</xdr:colOff>
      <xdr:row>18</xdr:row>
      <xdr:rowOff>123825</xdr:rowOff>
    </xdr:from>
    <xdr:to>
      <xdr:col>6</xdr:col>
      <xdr:colOff>423863</xdr:colOff>
      <xdr:row>22</xdr:row>
      <xdr:rowOff>180975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8C0F4C1-93A4-4314-91F0-F010A7B1741A}"/>
            </a:ext>
          </a:extLst>
        </xdr:cNvPr>
        <xdr:cNvCxnSpPr/>
      </xdr:nvCxnSpPr>
      <xdr:spPr>
        <a:xfrm>
          <a:off x="6367463" y="2867025"/>
          <a:ext cx="1304925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58</xdr:row>
      <xdr:rowOff>52387</xdr:rowOff>
    </xdr:from>
    <xdr:to>
      <xdr:col>4</xdr:col>
      <xdr:colOff>560070</xdr:colOff>
      <xdr:row>63</xdr:row>
      <xdr:rowOff>143827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835C6E7-70AF-4469-A51F-4870A79AE64B}"/>
            </a:ext>
          </a:extLst>
        </xdr:cNvPr>
        <xdr:cNvSpPr txBox="1"/>
      </xdr:nvSpPr>
      <xdr:spPr>
        <a:xfrm>
          <a:off x="152400" y="9567862"/>
          <a:ext cx="4522470" cy="1043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Nouveau</a:t>
          </a:r>
          <a:r>
            <a:rPr lang="fr-FR" sz="1100" baseline="0"/>
            <a:t> CA : 1 182 750/0,90  + 5000/0,90 = 1 319 722€</a:t>
          </a:r>
        </a:p>
        <a:p>
          <a:endParaRPr lang="fr-FR" sz="1100" baseline="0"/>
        </a:p>
        <a:p>
          <a:r>
            <a:rPr lang="fr-FR" sz="1100" baseline="0"/>
            <a:t>Vérification :</a:t>
          </a:r>
        </a:p>
        <a:p>
          <a:r>
            <a:rPr lang="fr-FR" sz="1100" baseline="0"/>
            <a:t>Cout centrale de réservation : 1 319 722 *0 ,10 + 5000 =  136 972€</a:t>
          </a:r>
        </a:p>
        <a:p>
          <a:r>
            <a:rPr lang="fr-FR" sz="1100" baseline="0"/>
            <a:t>Nouveau CA = 1 182 750 + 136 972 =&gt;  1 319 722€</a:t>
          </a:r>
        </a:p>
        <a:p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22</xdr:row>
      <xdr:rowOff>123825</xdr:rowOff>
    </xdr:from>
    <xdr:to>
      <xdr:col>3</xdr:col>
      <xdr:colOff>571499</xdr:colOff>
      <xdr:row>40</xdr:row>
      <xdr:rowOff>132920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F00766-7CE3-4E57-B215-A579F1FB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629150"/>
          <a:ext cx="4676774" cy="3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42</xdr:row>
      <xdr:rowOff>133350</xdr:rowOff>
    </xdr:from>
    <xdr:to>
      <xdr:col>3</xdr:col>
      <xdr:colOff>732842</xdr:colOff>
      <xdr:row>65</xdr:row>
      <xdr:rowOff>75659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0D164C-A7A2-4652-BAA1-785E4669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8448675"/>
          <a:ext cx="4666667" cy="4323809"/>
        </a:xfrm>
        <a:prstGeom prst="rect">
          <a:avLst/>
        </a:prstGeom>
      </xdr:spPr>
    </xdr:pic>
    <xdr:clientData/>
  </xdr:twoCellAnchor>
  <xdr:twoCellAnchor>
    <xdr:from>
      <xdr:col>3</xdr:col>
      <xdr:colOff>376237</xdr:colOff>
      <xdr:row>44</xdr:row>
      <xdr:rowOff>71437</xdr:rowOff>
    </xdr:from>
    <xdr:to>
      <xdr:col>6</xdr:col>
      <xdr:colOff>666749</xdr:colOff>
      <xdr:row>49</xdr:row>
      <xdr:rowOff>171449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772CE78-11AA-4162-96F1-3671493484A0}"/>
            </a:ext>
          </a:extLst>
        </xdr:cNvPr>
        <xdr:cNvSpPr txBox="1"/>
      </xdr:nvSpPr>
      <xdr:spPr>
        <a:xfrm>
          <a:off x="5257800" y="8348662"/>
          <a:ext cx="3043237" cy="100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Achat de</a:t>
          </a:r>
          <a:r>
            <a:rPr lang="fr-FR" sz="1100" baseline="0"/>
            <a:t> 2000Kg de MP à 10€ le Kg = 20000€</a:t>
          </a:r>
        </a:p>
        <a:p>
          <a:r>
            <a:rPr lang="fr-FR" sz="1100" baseline="0"/>
            <a:t>Autres charges variables de 4000€</a:t>
          </a:r>
        </a:p>
        <a:p>
          <a:r>
            <a:rPr lang="fr-FR" sz="1100" baseline="0"/>
            <a:t>TOTAL CHARGES VARIABLES : 24000€</a:t>
          </a:r>
        </a:p>
        <a:p>
          <a:r>
            <a:rPr lang="fr-FR" sz="1100" baseline="0"/>
            <a:t>Coût variable unitaire =&gt;  24000 / 2000 = 12€</a:t>
          </a:r>
        </a:p>
        <a:p>
          <a:r>
            <a:rPr lang="fr-FR" sz="1100" baseline="0"/>
            <a:t>PCI =&gt;   12€  *  1,25   = 15€</a:t>
          </a:r>
          <a:endParaRPr lang="fr-FR" sz="1100"/>
        </a:p>
      </xdr:txBody>
    </xdr:sp>
    <xdr:clientData/>
  </xdr:twoCellAnchor>
  <xdr:twoCellAnchor>
    <xdr:from>
      <xdr:col>3</xdr:col>
      <xdr:colOff>152401</xdr:colOff>
      <xdr:row>54</xdr:row>
      <xdr:rowOff>152401</xdr:rowOff>
    </xdr:from>
    <xdr:to>
      <xdr:col>7</xdr:col>
      <xdr:colOff>285751</xdr:colOff>
      <xdr:row>60</xdr:row>
      <xdr:rowOff>71438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1C51AD1-7927-40A0-8558-8D8AE02880F0}"/>
            </a:ext>
          </a:extLst>
        </xdr:cNvPr>
        <xdr:cNvSpPr txBox="1"/>
      </xdr:nvSpPr>
      <xdr:spPr>
        <a:xfrm>
          <a:off x="5033964" y="10239376"/>
          <a:ext cx="3676650" cy="100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Achat de</a:t>
          </a:r>
          <a:r>
            <a:rPr lang="fr-FR" sz="1100" baseline="0"/>
            <a:t> 2000Kg à 15€   = 30000€</a:t>
          </a:r>
        </a:p>
        <a:p>
          <a:r>
            <a:rPr lang="fr-FR" sz="1100" baseline="0"/>
            <a:t>MOD (750h à 30€)   = 22500€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CHARGES VARIABLES : 52500€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Coût variable unitaire d'un produit=&gt;  52500 / 1000 = 52,50€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PCI =&gt;   52,50€  *  1,22   = 64,05€</a:t>
          </a:r>
          <a:endParaRPr lang="fr-FR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742805</xdr:colOff>
      <xdr:row>57</xdr:row>
      <xdr:rowOff>176954</xdr:rowOff>
    </xdr:from>
    <xdr:to>
      <xdr:col>7</xdr:col>
      <xdr:colOff>123735</xdr:colOff>
      <xdr:row>64</xdr:row>
      <xdr:rowOff>44245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7195600-DE50-4CC8-9DC8-9A596F62427C}"/>
            </a:ext>
          </a:extLst>
        </xdr:cNvPr>
        <xdr:cNvSpPr txBox="1"/>
      </xdr:nvSpPr>
      <xdr:spPr>
        <a:xfrm>
          <a:off x="3820302" y="11041599"/>
          <a:ext cx="3205678" cy="1140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CV unitaire de production : -0,25€</a:t>
          </a:r>
        </a:p>
        <a:p>
          <a:r>
            <a:rPr lang="fr-FR" sz="1100"/>
            <a:t>Charges fixes de production : +4000€</a:t>
          </a:r>
        </a:p>
        <a:p>
          <a:endParaRPr lang="fr-FR" sz="1100"/>
        </a:p>
        <a:p>
          <a:r>
            <a:rPr lang="fr-FR" sz="1100"/>
            <a:t>Baisse du cout variable :</a:t>
          </a:r>
          <a:r>
            <a:rPr lang="fr-FR" sz="1100" baseline="0"/>
            <a:t> -0,25 * 16000 = -4000€</a:t>
          </a:r>
        </a:p>
        <a:p>
          <a:r>
            <a:rPr lang="fr-FR" sz="1100" baseline="0"/>
            <a:t>Augmentation des charges fixes    = +4000€</a:t>
          </a:r>
          <a:endParaRPr lang="fr-FR" sz="1100"/>
        </a:p>
      </xdr:txBody>
    </xdr:sp>
    <xdr:clientData/>
  </xdr:twoCellAnchor>
  <xdr:twoCellAnchor>
    <xdr:from>
      <xdr:col>0</xdr:col>
      <xdr:colOff>171449</xdr:colOff>
      <xdr:row>10</xdr:row>
      <xdr:rowOff>104775</xdr:rowOff>
    </xdr:from>
    <xdr:to>
      <xdr:col>6</xdr:col>
      <xdr:colOff>63910</xdr:colOff>
      <xdr:row>27</xdr:row>
      <xdr:rowOff>19050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0804FFD-F597-4117-9A1C-CCF750121F17}"/>
            </a:ext>
          </a:extLst>
        </xdr:cNvPr>
        <xdr:cNvSpPr txBox="1"/>
      </xdr:nvSpPr>
      <xdr:spPr>
        <a:xfrm>
          <a:off x="171449" y="2036814"/>
          <a:ext cx="5472267" cy="3006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Coût</a:t>
          </a:r>
          <a:r>
            <a:rPr lang="fr-FR" sz="1400" baseline="0"/>
            <a:t> des MP		: 1,20 *16000 	= 19200€</a:t>
          </a:r>
        </a:p>
        <a:p>
          <a:r>
            <a:rPr lang="fr-FR" sz="1400" baseline="0"/>
            <a:t>Charges variables de production			: 9600€</a:t>
          </a:r>
        </a:p>
        <a:p>
          <a:r>
            <a:rPr lang="fr-FR" sz="1400" baseline="0"/>
            <a:t>Charges fixes de production			: 8000€</a:t>
          </a:r>
        </a:p>
        <a:p>
          <a:r>
            <a:rPr lang="fr-FR" sz="1400" b="1" baseline="0"/>
            <a:t>TOTAL PRODUCTION				: 36800€</a:t>
          </a:r>
        </a:p>
        <a:p>
          <a:endParaRPr lang="fr-FR" sz="1400" baseline="0"/>
        </a:p>
        <a:p>
          <a:r>
            <a:rPr lang="fr-FR" sz="1400" baseline="0"/>
            <a:t>Charges variables Magasin	: 1 * 12000		: 12000€</a:t>
          </a:r>
        </a:p>
        <a:p>
          <a:r>
            <a:rPr lang="fr-FR" sz="1400" baseline="0"/>
            <a:t>Charges variable Site		: 0,20 * 4000	:   800€</a:t>
          </a:r>
        </a:p>
        <a:p>
          <a:r>
            <a:rPr lang="fr-FR" sz="1400" baseline="0"/>
            <a:t>Charges fixes				: 7000€ </a:t>
          </a:r>
        </a:p>
        <a:p>
          <a:r>
            <a:rPr lang="fr-FR" sz="1400" b="1" baseline="0"/>
            <a:t>TOTAL DISTRIBUTION				:  19800€</a:t>
          </a:r>
        </a:p>
        <a:p>
          <a:endParaRPr lang="fr-FR" sz="1400" baseline="0"/>
        </a:p>
        <a:p>
          <a:r>
            <a:rPr lang="fr-FR" sz="1400" b="1" baseline="0"/>
            <a:t>TOTAL CHARGES				: 56600€</a:t>
          </a:r>
          <a:endParaRPr lang="fr-FR" sz="1400" b="1"/>
        </a:p>
      </xdr:txBody>
    </xdr:sp>
    <xdr:clientData/>
  </xdr:twoCellAnchor>
  <xdr:twoCellAnchor>
    <xdr:from>
      <xdr:col>0</xdr:col>
      <xdr:colOff>958644</xdr:colOff>
      <xdr:row>81</xdr:row>
      <xdr:rowOff>58993</xdr:rowOff>
    </xdr:from>
    <xdr:to>
      <xdr:col>8</xdr:col>
      <xdr:colOff>226141</xdr:colOff>
      <xdr:row>93</xdr:row>
      <xdr:rowOff>68826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FD3D6A-78D0-48BF-A6E5-EBA75122B100}"/>
            </a:ext>
          </a:extLst>
        </xdr:cNvPr>
        <xdr:cNvSpPr txBox="1"/>
      </xdr:nvSpPr>
      <xdr:spPr>
        <a:xfrm>
          <a:off x="958644" y="15289161"/>
          <a:ext cx="6740013" cy="2192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Coût</a:t>
          </a:r>
          <a:r>
            <a:rPr lang="fr-FR" sz="1100" baseline="0">
              <a:solidFill>
                <a:srgbClr val="FF0000"/>
              </a:solidFill>
            </a:rPr>
            <a:t> de production d'une bière : 2,30€</a:t>
          </a:r>
          <a:endParaRPr lang="fr-FR" sz="1100">
            <a:solidFill>
              <a:srgbClr val="FF0000"/>
            </a:solidFill>
          </a:endParaRPr>
        </a:p>
        <a:p>
          <a:r>
            <a:rPr lang="fr-FR" sz="1100"/>
            <a:t>Ancien</a:t>
          </a:r>
          <a:r>
            <a:rPr lang="fr-FR" sz="1100" baseline="0"/>
            <a:t> CV de production  : 1,80  </a:t>
          </a:r>
        </a:p>
        <a:p>
          <a:r>
            <a:rPr lang="fr-FR" sz="1100" baseline="0"/>
            <a:t>PCI : 1,80 * 1,30   = 2,34€</a:t>
          </a:r>
        </a:p>
        <a:p>
          <a:r>
            <a:rPr lang="fr-FR" sz="1100" baseline="0"/>
            <a:t>Production : 640€	Usine :  1640€		Bio  : -480€</a:t>
          </a:r>
        </a:p>
        <a:p>
          <a:endParaRPr lang="fr-FR" sz="1100" baseline="0"/>
        </a:p>
        <a:p>
          <a:r>
            <a:rPr lang="fr-FR" sz="1100" baseline="0"/>
            <a:t>Nouveau CV de production : 1,80 - 0,25  = 1,55€</a:t>
          </a:r>
        </a:p>
        <a:p>
          <a:r>
            <a:rPr lang="fr-FR" sz="1100" baseline="0"/>
            <a:t>PCI : 1,55€ * 1,30  =&gt;  2,015€</a:t>
          </a:r>
        </a:p>
        <a:p>
          <a:endParaRPr lang="fr-FR" sz="1100" baseline="0"/>
        </a:p>
        <a:p>
          <a:r>
            <a:rPr lang="fr-FR" sz="1100" baseline="0"/>
            <a:t>Production  (2,015 - 2,30) * 16000 </a:t>
          </a:r>
          <a:r>
            <a:rPr lang="fr-FR" sz="1100" baseline="0">
              <a:solidFill>
                <a:srgbClr val="FF0000"/>
              </a:solidFill>
            </a:rPr>
            <a:t>= -4560€</a:t>
          </a:r>
        </a:p>
        <a:p>
          <a:r>
            <a:rPr lang="fr-FR" sz="1100" baseline="0"/>
            <a:t>Vente en usine  (2,34- 2,015) * 4000 =&gt; 1300€ de charges en moins  </a:t>
          </a:r>
          <a:r>
            <a:rPr lang="fr-FR" sz="1100" baseline="0">
              <a:solidFill>
                <a:srgbClr val="FF0000"/>
              </a:solidFill>
            </a:rPr>
            <a:t>Nouveau bénéfice  : 1640 + 1300 = 2940€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ysClr val="windowText" lastClr="000000"/>
              </a:solidFill>
            </a:rPr>
            <a:t>Vente en magasin (2,34 -2,015) * 12000 =&gt; 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3900€ de charges en moins  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Nouveau bénéfice  : -480+ 3900 = 3420€</a:t>
          </a:r>
          <a:endParaRPr lang="fr-FR">
            <a:solidFill>
              <a:srgbClr val="FF0000"/>
            </a:solidFill>
            <a:effectLst/>
          </a:endParaRPr>
        </a:p>
        <a:p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5</xdr:col>
      <xdr:colOff>704086</xdr:colOff>
      <xdr:row>36</xdr:row>
      <xdr:rowOff>57000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06AD16-996F-4124-95E3-61FA701A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24550"/>
          <a:ext cx="6114286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6</xdr:col>
      <xdr:colOff>75419</xdr:colOff>
      <xdr:row>52</xdr:row>
      <xdr:rowOff>56952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8659C3-20C6-4C2B-BF9E-7BA44B1BD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91550"/>
          <a:ext cx="6247619" cy="1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6</xdr:col>
      <xdr:colOff>284943</xdr:colOff>
      <xdr:row>87</xdr:row>
      <xdr:rowOff>113809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3FBD95-22F0-4C8E-B712-372FA4B0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049250"/>
          <a:ext cx="6457143" cy="3923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208359</xdr:colOff>
      <xdr:row>32</xdr:row>
      <xdr:rowOff>154781</xdr:rowOff>
    </xdr:from>
    <xdr:to>
      <xdr:col>6</xdr:col>
      <xdr:colOff>756047</xdr:colOff>
      <xdr:row>39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E9BBF61-C65C-4C20-8F6B-04833ACAE9F2}"/>
            </a:ext>
          </a:extLst>
        </xdr:cNvPr>
        <xdr:cNvSpPr txBox="1"/>
      </xdr:nvSpPr>
      <xdr:spPr>
        <a:xfrm>
          <a:off x="208359" y="2821781"/>
          <a:ext cx="6281738" cy="1321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 C1, il faut minimum vendre au coût variable</a:t>
          </a:r>
          <a:r>
            <a:rPr lang="fr-FR" sz="1100" baseline="0"/>
            <a:t> unitaire. Le PCI ne peut pas être inférieur à 520€</a:t>
          </a:r>
        </a:p>
        <a:p>
          <a:endParaRPr lang="fr-FR" sz="1100" baseline="0"/>
        </a:p>
        <a:p>
          <a:r>
            <a:rPr lang="fr-FR" sz="1100" baseline="0"/>
            <a:t>Pour C2, les charges additionnelles étant de 1266,67€ par produit (760000/600) et le prix de vente étant de 2000€, le PCI de P1 ne peut pas être supérieur à 733,33€ (2000-1266,67).</a:t>
          </a:r>
        </a:p>
        <a:p>
          <a:endParaRPr lang="fr-FR" sz="1100" baseline="0"/>
        </a:p>
        <a:p>
          <a:r>
            <a:rPr lang="fr-FR" sz="1100" baseline="0"/>
            <a:t>Le PCI de P1 doit donc se situer entre 520€ et 733,33€</a:t>
          </a:r>
          <a:endParaRPr lang="fr-FR" sz="1100"/>
        </a:p>
      </xdr:txBody>
    </xdr:sp>
    <xdr:clientData/>
  </xdr:twoCellAnchor>
  <xdr:twoCellAnchor>
    <xdr:from>
      <xdr:col>0</xdr:col>
      <xdr:colOff>214312</xdr:colOff>
      <xdr:row>52</xdr:row>
      <xdr:rowOff>99060</xdr:rowOff>
    </xdr:from>
    <xdr:to>
      <xdr:col>8</xdr:col>
      <xdr:colOff>261937</xdr:colOff>
      <xdr:row>68</xdr:row>
      <xdr:rowOff>17859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7E71158-0C93-46BF-BB5E-961F7660ED7A}"/>
            </a:ext>
          </a:extLst>
        </xdr:cNvPr>
        <xdr:cNvSpPr txBox="1"/>
      </xdr:nvSpPr>
      <xdr:spPr>
        <a:xfrm>
          <a:off x="214312" y="6865620"/>
          <a:ext cx="7774305" cy="28448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La stucture actuelle (uniquement</a:t>
          </a:r>
          <a:r>
            <a:rPr lang="fr-FR" sz="1100" baseline="0"/>
            <a:t> centre C1) </a:t>
          </a:r>
          <a:r>
            <a:rPr lang="fr-FR" sz="1100"/>
            <a:t> permet un bénéfice de 648000€ (question</a:t>
          </a:r>
          <a:r>
            <a:rPr lang="fr-FR" sz="1100" baseline="0"/>
            <a:t> 1)</a:t>
          </a:r>
          <a:endParaRPr lang="fr-FR" sz="1100"/>
        </a:p>
        <a:p>
          <a:r>
            <a:rPr lang="fr-FR" sz="1100"/>
            <a:t>Le résultat maximum</a:t>
          </a:r>
          <a:r>
            <a:rPr lang="fr-FR" sz="1100" baseline="0"/>
            <a:t> espéré par le centre C1 est de 696000€ (question 3).</a:t>
          </a:r>
        </a:p>
        <a:p>
          <a:r>
            <a:rPr lang="fr-FR" sz="1100" baseline="0"/>
            <a:t>Avec un PCI à 520€ le résultat global de la société est de776000€ (question 1)</a:t>
          </a:r>
        </a:p>
        <a:p>
          <a:endParaRPr lang="fr-FR" sz="1100" baseline="0"/>
        </a:p>
        <a:p>
          <a:r>
            <a:rPr lang="fr-FR" sz="1100" baseline="0"/>
            <a:t>Pour C1 </a:t>
          </a:r>
        </a:p>
        <a:p>
          <a:endParaRPr lang="fr-FR" sz="1100" baseline="0"/>
        </a:p>
        <a:p>
          <a:r>
            <a:rPr lang="fr-FR" sz="1100" baseline="0"/>
            <a:t>Résultat   =&gt;    (1800*1200)+(PCI*600)  -(2400*520) - 576000  = 696000</a:t>
          </a:r>
        </a:p>
        <a:p>
          <a:r>
            <a:rPr lang="fr-FR" sz="1100" baseline="0"/>
            <a:t>	600PCI = 360000€</a:t>
          </a:r>
        </a:p>
        <a:p>
          <a:r>
            <a:rPr lang="fr-FR" sz="1100" baseline="0"/>
            <a:t>	PCI = 600€</a:t>
          </a:r>
        </a:p>
        <a:p>
          <a:endParaRPr lang="fr-FR" sz="1100" baseline="0"/>
        </a:p>
        <a:p>
          <a:r>
            <a:rPr lang="fr-FR" sz="1100" baseline="0"/>
            <a:t>Pour C2  (776000-696000)= 80000€</a:t>
          </a:r>
        </a:p>
        <a:p>
          <a:r>
            <a:rPr lang="fr-FR" sz="1100" baseline="0"/>
            <a:t>Résultat  =&gt;  (600*2000) - (600*600) - 400 000 - (600*PCI)   = 80000€</a:t>
          </a:r>
        </a:p>
        <a:p>
          <a:r>
            <a:rPr lang="fr-FR" sz="1100" baseline="0"/>
            <a:t>	600PCI  = 360000€</a:t>
          </a:r>
        </a:p>
        <a:p>
          <a:r>
            <a:rPr lang="fr-FR" sz="1100" baseline="0"/>
            <a:t>	PCI = 600€</a:t>
          </a:r>
        </a:p>
        <a:p>
          <a:r>
            <a:rPr lang="fr-FR" sz="1100" baseline="0"/>
            <a:t>	</a:t>
          </a:r>
        </a:p>
        <a:p>
          <a:r>
            <a:rPr lang="fr-FR" sz="1100" baseline="0"/>
            <a:t>Le PCI optimal est donc de 600€</a:t>
          </a:r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3</xdr:col>
      <xdr:colOff>193040</xdr:colOff>
      <xdr:row>22</xdr:row>
      <xdr:rowOff>30480</xdr:rowOff>
    </xdr:from>
    <xdr:to>
      <xdr:col>4</xdr:col>
      <xdr:colOff>381000</xdr:colOff>
      <xdr:row>25</xdr:row>
      <xdr:rowOff>167640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511985CF-E85F-456A-B742-738D523E2E06}"/>
            </a:ext>
          </a:extLst>
        </xdr:cNvPr>
        <xdr:cNvCxnSpPr/>
      </xdr:nvCxnSpPr>
      <xdr:spPr>
        <a:xfrm>
          <a:off x="3530600" y="4053840"/>
          <a:ext cx="124968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655320</xdr:colOff>
      <xdr:row>22</xdr:row>
      <xdr:rowOff>172720</xdr:rowOff>
    </xdr:from>
    <xdr:to>
      <xdr:col>7</xdr:col>
      <xdr:colOff>116840</xdr:colOff>
      <xdr:row>25</xdr:row>
      <xdr:rowOff>162560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042C6F7-B690-4349-AF2A-F0D0C4B2E2BD}"/>
            </a:ext>
          </a:extLst>
        </xdr:cNvPr>
        <xdr:cNvCxnSpPr/>
      </xdr:nvCxnSpPr>
      <xdr:spPr>
        <a:xfrm flipH="1">
          <a:off x="5054600" y="4196080"/>
          <a:ext cx="2692400" cy="538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D943-1EF9-4F1F-8AF3-73B597899485}">
  <dimension ref="A1:J6"/>
  <sheetViews>
    <sheetView showGridLines="0" workbookViewId="0">
      <selection sqref="A1:J1"/>
    </sheetView>
  </sheetViews>
  <sheetFormatPr baseColWidth="10" defaultRowHeight="14.4" x14ac:dyDescent="0.3"/>
  <sheetData>
    <row r="1" spans="1:10" ht="23.4" x14ac:dyDescent="0.45">
      <c r="A1" s="313" t="s">
        <v>399</v>
      </c>
      <c r="B1" s="313"/>
      <c r="C1" s="313"/>
      <c r="D1" s="313"/>
      <c r="E1" s="313"/>
      <c r="F1" s="313"/>
      <c r="G1" s="313"/>
      <c r="H1" s="313"/>
      <c r="I1" s="313"/>
      <c r="J1" s="313"/>
    </row>
    <row r="3" spans="1:10" x14ac:dyDescent="0.3">
      <c r="A3" s="362" t="s">
        <v>466</v>
      </c>
    </row>
    <row r="4" spans="1:10" x14ac:dyDescent="0.3">
      <c r="A4" s="362" t="s">
        <v>467</v>
      </c>
    </row>
    <row r="5" spans="1:10" x14ac:dyDescent="0.3">
      <c r="A5" s="362" t="s">
        <v>468</v>
      </c>
    </row>
    <row r="6" spans="1:10" x14ac:dyDescent="0.3">
      <c r="A6" s="362" t="s">
        <v>469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794A-7174-467F-9917-A20F6340B917}">
  <dimension ref="A1:H39"/>
  <sheetViews>
    <sheetView showGridLines="0" zoomScale="146" zoomScaleNormal="146" workbookViewId="0">
      <selection sqref="A1:G1"/>
    </sheetView>
  </sheetViews>
  <sheetFormatPr baseColWidth="10" defaultRowHeight="14.4" x14ac:dyDescent="0.3"/>
  <cols>
    <col min="1" max="1" width="26.6640625" customWidth="1"/>
    <col min="2" max="2" width="15.33203125" customWidth="1"/>
    <col min="3" max="3" width="13.5546875" customWidth="1"/>
    <col min="4" max="4" width="21.5546875" customWidth="1"/>
    <col min="5" max="5" width="14.88671875" customWidth="1"/>
    <col min="6" max="6" width="14.6640625" customWidth="1"/>
    <col min="7" max="7" width="13.88671875" bestFit="1" customWidth="1"/>
    <col min="8" max="8" width="12.6640625" bestFit="1" customWidth="1"/>
    <col min="9" max="9" width="2.44140625" customWidth="1"/>
  </cols>
  <sheetData>
    <row r="1" spans="1:8" x14ac:dyDescent="0.3">
      <c r="A1" s="329" t="s">
        <v>474</v>
      </c>
      <c r="B1" s="329"/>
      <c r="C1" s="329"/>
      <c r="D1" s="329"/>
      <c r="E1" s="329"/>
      <c r="F1" s="329"/>
      <c r="G1" s="329"/>
    </row>
    <row r="4" spans="1:8" x14ac:dyDescent="0.3">
      <c r="A4" s="118" t="s">
        <v>166</v>
      </c>
    </row>
    <row r="6" spans="1:8" x14ac:dyDescent="0.3">
      <c r="A6" s="1"/>
      <c r="B6" s="314" t="s">
        <v>167</v>
      </c>
      <c r="C6" s="314"/>
      <c r="D6" s="314"/>
      <c r="E6" s="314" t="s">
        <v>168</v>
      </c>
      <c r="F6" s="314"/>
      <c r="G6" s="314"/>
      <c r="H6" s="332" t="s">
        <v>169</v>
      </c>
    </row>
    <row r="7" spans="1:8" x14ac:dyDescent="0.3">
      <c r="A7" s="1"/>
      <c r="B7" s="32" t="s">
        <v>51</v>
      </c>
      <c r="C7" s="32" t="s">
        <v>170</v>
      </c>
      <c r="D7" s="32" t="s">
        <v>171</v>
      </c>
      <c r="E7" s="32" t="s">
        <v>51</v>
      </c>
      <c r="F7" s="32" t="s">
        <v>170</v>
      </c>
      <c r="G7" s="32" t="s">
        <v>171</v>
      </c>
      <c r="H7" s="332"/>
    </row>
    <row r="8" spans="1:8" x14ac:dyDescent="0.3">
      <c r="A8" s="1" t="s">
        <v>172</v>
      </c>
      <c r="B8" s="119">
        <v>10000</v>
      </c>
      <c r="C8" s="50">
        <v>60</v>
      </c>
      <c r="D8" s="50">
        <f>B8*C8</f>
        <v>600000</v>
      </c>
      <c r="E8" s="49">
        <v>9500</v>
      </c>
      <c r="F8" s="283">
        <f>+G8/E8</f>
        <v>59.05263157894737</v>
      </c>
      <c r="G8" s="50">
        <v>561000</v>
      </c>
      <c r="H8" s="22">
        <f>G8-D8</f>
        <v>-39000</v>
      </c>
    </row>
    <row r="9" spans="1:8" x14ac:dyDescent="0.3">
      <c r="A9" s="1" t="s">
        <v>173</v>
      </c>
      <c r="B9" s="119">
        <v>5000</v>
      </c>
      <c r="C9" s="50">
        <v>55</v>
      </c>
      <c r="D9" s="50">
        <f>B9*C9</f>
        <v>275000</v>
      </c>
      <c r="E9" s="49">
        <v>5400</v>
      </c>
      <c r="F9" s="50">
        <f>+G9/E9</f>
        <v>54.722222222222221</v>
      </c>
      <c r="G9" s="50">
        <v>295500</v>
      </c>
      <c r="H9" s="22">
        <f>G9-D9</f>
        <v>20500</v>
      </c>
    </row>
    <row r="10" spans="1:8" x14ac:dyDescent="0.3">
      <c r="A10" s="1" t="s">
        <v>61</v>
      </c>
      <c r="B10" s="336">
        <f>SUM(D8:D9)</f>
        <v>875000</v>
      </c>
      <c r="C10" s="337"/>
      <c r="D10" s="338"/>
      <c r="E10" s="336">
        <f>SUM(G8:G9)</f>
        <v>856500</v>
      </c>
      <c r="F10" s="337"/>
      <c r="G10" s="338"/>
      <c r="H10" s="22">
        <f>E10-B10</f>
        <v>-18500</v>
      </c>
    </row>
    <row r="13" spans="1:8" x14ac:dyDescent="0.3">
      <c r="D13" s="120">
        <v>15000</v>
      </c>
    </row>
    <row r="14" spans="1:8" x14ac:dyDescent="0.3">
      <c r="D14" s="31">
        <f>+B10/D13</f>
        <v>58.333333333333336</v>
      </c>
    </row>
    <row r="15" spans="1:8" x14ac:dyDescent="0.3">
      <c r="A15" s="36" t="s">
        <v>174</v>
      </c>
    </row>
    <row r="16" spans="1:8" x14ac:dyDescent="0.3">
      <c r="A16" s="21" t="s">
        <v>175</v>
      </c>
      <c r="B16" s="43">
        <f>E10-B10</f>
        <v>-18500</v>
      </c>
      <c r="C16" t="s">
        <v>72</v>
      </c>
    </row>
    <row r="17" spans="1:8" x14ac:dyDescent="0.3">
      <c r="A17" s="36"/>
      <c r="B17" s="117"/>
    </row>
    <row r="18" spans="1:8" ht="14.25" customHeight="1" x14ac:dyDescent="0.3">
      <c r="A18" s="36" t="s">
        <v>148</v>
      </c>
      <c r="G18" s="26" t="s">
        <v>61</v>
      </c>
    </row>
    <row r="19" spans="1:8" x14ac:dyDescent="0.3">
      <c r="A19" s="121" t="s">
        <v>176</v>
      </c>
      <c r="B19" s="122">
        <f>G8-D8</f>
        <v>-39000</v>
      </c>
      <c r="C19" s="121" t="s">
        <v>63</v>
      </c>
      <c r="D19" s="89" t="s">
        <v>177</v>
      </c>
      <c r="E19" s="123">
        <f>G9-D9</f>
        <v>20500</v>
      </c>
      <c r="F19" s="124" t="s">
        <v>64</v>
      </c>
      <c r="G19" s="72">
        <f t="shared" ref="G19" si="0">B19+E19</f>
        <v>-18500</v>
      </c>
    </row>
    <row r="20" spans="1:8" ht="9.75" customHeight="1" x14ac:dyDescent="0.3">
      <c r="A20" s="275"/>
      <c r="B20" s="276"/>
      <c r="C20" s="275"/>
      <c r="D20" s="275"/>
      <c r="E20" s="276"/>
      <c r="F20" s="277"/>
      <c r="G20" s="278"/>
    </row>
    <row r="21" spans="1:8" ht="18.75" customHeight="1" x14ac:dyDescent="0.3">
      <c r="A21" s="279" t="s">
        <v>41</v>
      </c>
      <c r="B21" s="280"/>
      <c r="C21" s="279"/>
      <c r="D21" s="279"/>
      <c r="E21" s="280"/>
      <c r="F21" s="281"/>
      <c r="G21" s="282"/>
    </row>
    <row r="22" spans="1:8" x14ac:dyDescent="0.3">
      <c r="A22" s="121" t="s">
        <v>178</v>
      </c>
      <c r="B22" s="125">
        <f>(F8-C8)*E8</f>
        <v>-8999.9999999999854</v>
      </c>
      <c r="C22" s="121" t="s">
        <v>63</v>
      </c>
      <c r="D22" s="89" t="s">
        <v>178</v>
      </c>
      <c r="E22" s="126">
        <f>(F9-C9)*E9</f>
        <v>-1500.0000000000043</v>
      </c>
      <c r="F22" s="124" t="s">
        <v>63</v>
      </c>
      <c r="G22" s="72">
        <f>B22+E22</f>
        <v>-10499.999999999989</v>
      </c>
      <c r="H22" s="31"/>
    </row>
    <row r="23" spans="1:8" x14ac:dyDescent="0.3">
      <c r="A23" s="121" t="s">
        <v>71</v>
      </c>
      <c r="B23" s="122">
        <f>(E8-B8)*C8</f>
        <v>-30000</v>
      </c>
      <c r="C23" s="121" t="s">
        <v>63</v>
      </c>
      <c r="D23" s="89" t="s">
        <v>71</v>
      </c>
      <c r="E23" s="126">
        <f>(E9-B9)*C9</f>
        <v>22000</v>
      </c>
      <c r="F23" s="124" t="s">
        <v>64</v>
      </c>
      <c r="G23" s="127">
        <f>B23+E23</f>
        <v>-8000</v>
      </c>
      <c r="H23" s="31"/>
    </row>
    <row r="30" spans="1:8" x14ac:dyDescent="0.3">
      <c r="A30" s="36" t="s">
        <v>179</v>
      </c>
    </row>
    <row r="31" spans="1:8" x14ac:dyDescent="0.3">
      <c r="A31" s="329" t="s">
        <v>180</v>
      </c>
      <c r="B31" s="329"/>
      <c r="C31" s="329"/>
      <c r="D31" s="329"/>
      <c r="E31" s="329"/>
      <c r="F31" s="329"/>
      <c r="G31" s="329"/>
    </row>
    <row r="33" spans="1:8" x14ac:dyDescent="0.3">
      <c r="A33" s="329" t="s">
        <v>181</v>
      </c>
      <c r="B33" s="329"/>
      <c r="C33" s="329"/>
      <c r="D33" s="329"/>
      <c r="E33" s="329"/>
      <c r="F33" s="329"/>
      <c r="G33" s="329"/>
    </row>
    <row r="34" spans="1:8" x14ac:dyDescent="0.3">
      <c r="A34" s="3" t="s">
        <v>182</v>
      </c>
      <c r="B34" s="3">
        <v>14900</v>
      </c>
    </row>
    <row r="35" spans="1:8" s="51" customFormat="1" ht="43.2" x14ac:dyDescent="0.3">
      <c r="A35" s="128"/>
      <c r="B35" s="65" t="s">
        <v>183</v>
      </c>
      <c r="C35" s="65" t="s">
        <v>184</v>
      </c>
      <c r="D35" s="65" t="s">
        <v>185</v>
      </c>
      <c r="E35" s="65" t="s">
        <v>186</v>
      </c>
      <c r="F35" s="65" t="s">
        <v>187</v>
      </c>
      <c r="G35" s="65" t="s">
        <v>186</v>
      </c>
    </row>
    <row r="36" spans="1:8" x14ac:dyDescent="0.3">
      <c r="A36" s="1" t="s">
        <v>188</v>
      </c>
      <c r="B36" s="1">
        <f>9500</f>
        <v>9500</v>
      </c>
      <c r="C36" s="129">
        <f>10000/15000</f>
        <v>0.66666666666666663</v>
      </c>
      <c r="D36" s="130">
        <f>+C36*B34</f>
        <v>9933.3333333333321</v>
      </c>
      <c r="E36" s="131">
        <f>B36-D36</f>
        <v>-433.33333333333212</v>
      </c>
      <c r="F36" s="2">
        <f>C8</f>
        <v>60</v>
      </c>
      <c r="G36" s="2">
        <f>(B36-D36)*F36</f>
        <v>-25999.999999999927</v>
      </c>
      <c r="H36" t="s">
        <v>147</v>
      </c>
    </row>
    <row r="37" spans="1:8" x14ac:dyDescent="0.3">
      <c r="A37" s="1" t="s">
        <v>189</v>
      </c>
      <c r="B37" s="1">
        <f>5400</f>
        <v>5400</v>
      </c>
      <c r="C37" s="129">
        <f>5000/15000</f>
        <v>0.33333333333333331</v>
      </c>
      <c r="D37" s="130">
        <f>+C37*B34</f>
        <v>4966.6666666666661</v>
      </c>
      <c r="E37" s="131">
        <f>B37-D37</f>
        <v>433.33333333333394</v>
      </c>
      <c r="F37" s="2">
        <f>C9</f>
        <v>55</v>
      </c>
      <c r="G37" s="2">
        <f>(B37-D37)*F37</f>
        <v>23833.333333333365</v>
      </c>
      <c r="H37" t="s">
        <v>146</v>
      </c>
    </row>
    <row r="38" spans="1:8" x14ac:dyDescent="0.3">
      <c r="A38" s="132" t="s">
        <v>61</v>
      </c>
      <c r="B38" s="1">
        <f>B36+B37</f>
        <v>14900</v>
      </c>
      <c r="C38" s="133">
        <f>C36+C37</f>
        <v>1</v>
      </c>
      <c r="D38" s="130">
        <f>D36+D37</f>
        <v>14899.999999999998</v>
      </c>
      <c r="E38" s="131">
        <f>B38-D38</f>
        <v>0</v>
      </c>
      <c r="F38" s="134"/>
      <c r="G38" s="2"/>
    </row>
    <row r="39" spans="1:8" x14ac:dyDescent="0.3">
      <c r="A39" s="324" t="s">
        <v>61</v>
      </c>
      <c r="B39" s="325"/>
      <c r="C39" s="325"/>
      <c r="D39" s="325"/>
      <c r="E39" s="325"/>
      <c r="F39" s="326"/>
      <c r="G39" s="30">
        <f>G36+G37</f>
        <v>-2166.6666666665624</v>
      </c>
      <c r="H39" t="s">
        <v>147</v>
      </c>
    </row>
  </sheetData>
  <mergeCells count="9">
    <mergeCell ref="H6:H7"/>
    <mergeCell ref="B10:D10"/>
    <mergeCell ref="E10:G10"/>
    <mergeCell ref="A31:G31"/>
    <mergeCell ref="A1:G1"/>
    <mergeCell ref="A33:G33"/>
    <mergeCell ref="A39:F39"/>
    <mergeCell ref="B6:D6"/>
    <mergeCell ref="E6:G6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466C-6BB9-4C61-853C-D109A3ED01BB}">
  <dimension ref="A1:I54"/>
  <sheetViews>
    <sheetView showGridLines="0" zoomScale="120" zoomScaleNormal="120" workbookViewId="0">
      <selection activeCell="G20" sqref="G20"/>
    </sheetView>
  </sheetViews>
  <sheetFormatPr baseColWidth="10" defaultRowHeight="14.4" x14ac:dyDescent="0.3"/>
  <cols>
    <col min="1" max="1" width="19.88671875" customWidth="1"/>
    <col min="2" max="2" width="17.33203125" customWidth="1"/>
    <col min="3" max="3" width="16.33203125" customWidth="1"/>
    <col min="4" max="4" width="15.88671875" customWidth="1"/>
    <col min="5" max="5" width="26" customWidth="1"/>
    <col min="6" max="6" width="13.44140625" bestFit="1" customWidth="1"/>
    <col min="7" max="7" width="18.88671875" customWidth="1"/>
    <col min="8" max="8" width="20.5546875" bestFit="1" customWidth="1"/>
  </cols>
  <sheetData>
    <row r="1" spans="1:9" x14ac:dyDescent="0.3">
      <c r="A1" s="329" t="s">
        <v>475</v>
      </c>
      <c r="B1" s="329"/>
      <c r="C1" s="329"/>
      <c r="D1" s="329"/>
      <c r="E1" s="329"/>
      <c r="F1" s="329"/>
      <c r="G1" s="329"/>
      <c r="H1" s="329"/>
    </row>
    <row r="2" spans="1:9" x14ac:dyDescent="0.3">
      <c r="A2" s="165"/>
      <c r="B2" s="165"/>
      <c r="C2" s="165"/>
      <c r="D2" s="165"/>
      <c r="E2" s="165"/>
      <c r="F2" s="165"/>
      <c r="G2" s="165"/>
      <c r="H2" s="165"/>
    </row>
    <row r="3" spans="1:9" x14ac:dyDescent="0.3">
      <c r="A3" s="165"/>
      <c r="B3" s="165"/>
      <c r="C3" s="165"/>
      <c r="D3" s="165"/>
      <c r="E3" s="165"/>
      <c r="F3" s="165"/>
      <c r="G3" s="165"/>
      <c r="H3" s="165"/>
    </row>
    <row r="4" spans="1:9" x14ac:dyDescent="0.3">
      <c r="A4" s="165"/>
      <c r="B4" s="165"/>
      <c r="C4" s="165"/>
      <c r="D4" s="165"/>
      <c r="E4" s="165"/>
      <c r="F4" s="165"/>
      <c r="G4" s="165"/>
      <c r="H4" s="165"/>
    </row>
    <row r="5" spans="1:9" x14ac:dyDescent="0.3">
      <c r="A5" s="165"/>
      <c r="B5" s="165"/>
      <c r="C5" s="165"/>
      <c r="D5" s="165"/>
      <c r="E5" s="165"/>
      <c r="F5" s="165"/>
      <c r="G5" s="165"/>
    </row>
    <row r="6" spans="1:9" x14ac:dyDescent="0.3">
      <c r="B6" s="317" t="s">
        <v>194</v>
      </c>
      <c r="C6" s="317"/>
      <c r="D6" s="317"/>
      <c r="E6" s="317" t="s">
        <v>195</v>
      </c>
      <c r="F6" s="317"/>
      <c r="G6" s="317"/>
    </row>
    <row r="7" spans="1:9" ht="28.8" x14ac:dyDescent="0.3">
      <c r="A7" s="26" t="s">
        <v>196</v>
      </c>
      <c r="B7" s="65" t="s">
        <v>197</v>
      </c>
      <c r="C7" s="65" t="s">
        <v>198</v>
      </c>
      <c r="D7" s="65" t="s">
        <v>199</v>
      </c>
      <c r="E7" s="26" t="s">
        <v>192</v>
      </c>
      <c r="F7" s="65" t="s">
        <v>200</v>
      </c>
      <c r="G7" s="65" t="s">
        <v>201</v>
      </c>
      <c r="H7" s="65" t="s">
        <v>202</v>
      </c>
    </row>
    <row r="8" spans="1:9" x14ac:dyDescent="0.3">
      <c r="A8" s="29" t="s">
        <v>203</v>
      </c>
      <c r="B8" s="67">
        <f>126-98</f>
        <v>28</v>
      </c>
      <c r="C8" s="138">
        <v>6400</v>
      </c>
      <c r="D8" s="43">
        <f>B8*C8</f>
        <v>179200</v>
      </c>
      <c r="E8" s="67">
        <f>150-98</f>
        <v>52</v>
      </c>
      <c r="F8" s="138">
        <v>5000</v>
      </c>
      <c r="G8" s="43">
        <f>E8*F8</f>
        <v>260000</v>
      </c>
      <c r="H8" s="67">
        <f>D8-G8</f>
        <v>-80800</v>
      </c>
    </row>
    <row r="9" spans="1:9" x14ac:dyDescent="0.3">
      <c r="A9" s="1" t="s">
        <v>204</v>
      </c>
      <c r="B9" s="37">
        <f>200-115.5</f>
        <v>84.5</v>
      </c>
      <c r="C9" s="131">
        <v>5800</v>
      </c>
      <c r="D9" s="4">
        <f t="shared" ref="D9:D10" si="0">B9*C9</f>
        <v>490100</v>
      </c>
      <c r="E9" s="37">
        <f>210-115.5</f>
        <v>94.5</v>
      </c>
      <c r="F9" s="131">
        <v>8000</v>
      </c>
      <c r="G9" s="4">
        <f t="shared" ref="G9:G10" si="1">E9*F9</f>
        <v>756000</v>
      </c>
      <c r="H9" s="37">
        <f t="shared" ref="H9:H10" si="2">D9-G9</f>
        <v>-265900</v>
      </c>
    </row>
    <row r="10" spans="1:9" x14ac:dyDescent="0.3">
      <c r="A10" s="1" t="s">
        <v>205</v>
      </c>
      <c r="B10" s="37">
        <f>260-184</f>
        <v>76</v>
      </c>
      <c r="C10" s="131">
        <v>4700</v>
      </c>
      <c r="D10" s="4">
        <f t="shared" si="0"/>
        <v>357200</v>
      </c>
      <c r="E10" s="37">
        <f>260-184</f>
        <v>76</v>
      </c>
      <c r="F10" s="131">
        <v>6000</v>
      </c>
      <c r="G10" s="4">
        <f t="shared" si="1"/>
        <v>456000</v>
      </c>
      <c r="H10" s="37">
        <f t="shared" si="2"/>
        <v>-98800</v>
      </c>
    </row>
    <row r="11" spans="1:9" ht="21" x14ac:dyDescent="0.4">
      <c r="A11" s="139" t="s">
        <v>61</v>
      </c>
      <c r="C11" s="140">
        <f>SUM(C8:C10)</f>
        <v>16900</v>
      </c>
      <c r="D11" s="14">
        <f>SUM(D8:D10)</f>
        <v>1026500</v>
      </c>
      <c r="F11" s="141">
        <f>SUM(F8:F10)</f>
        <v>19000</v>
      </c>
      <c r="G11" s="14">
        <f>SUM(G8:G10)</f>
        <v>1472000</v>
      </c>
      <c r="H11" s="142">
        <f>SUM(H8:H10)</f>
        <v>-445500</v>
      </c>
      <c r="I11" t="s">
        <v>147</v>
      </c>
    </row>
    <row r="14" spans="1:9" x14ac:dyDescent="0.3">
      <c r="G14" s="31">
        <f>G8+G9+G10</f>
        <v>1472000</v>
      </c>
      <c r="H14" s="143">
        <f>SUM(F8:F10)</f>
        <v>19000</v>
      </c>
    </row>
    <row r="15" spans="1:9" x14ac:dyDescent="0.3">
      <c r="A15" s="26" t="s">
        <v>206</v>
      </c>
      <c r="B15" s="26" t="s">
        <v>207</v>
      </c>
      <c r="C15" s="26" t="s">
        <v>192</v>
      </c>
      <c r="D15" s="65" t="s">
        <v>198</v>
      </c>
      <c r="E15" s="65" t="s">
        <v>208</v>
      </c>
      <c r="H15" s="284">
        <f>G14/H14</f>
        <v>77.473684210526315</v>
      </c>
      <c r="I15" t="s">
        <v>405</v>
      </c>
    </row>
    <row r="16" spans="1:9" x14ac:dyDescent="0.3">
      <c r="A16" s="1" t="s">
        <v>203</v>
      </c>
      <c r="B16" s="144">
        <f>+B8</f>
        <v>28</v>
      </c>
      <c r="C16" s="144">
        <f>+E8</f>
        <v>52</v>
      </c>
      <c r="D16" s="145">
        <f>C8</f>
        <v>6400</v>
      </c>
      <c r="E16" s="50">
        <f>(B16-C16)*D16</f>
        <v>-153600</v>
      </c>
      <c r="F16" t="s">
        <v>147</v>
      </c>
    </row>
    <row r="17" spans="1:8" x14ac:dyDescent="0.3">
      <c r="A17" s="1" t="s">
        <v>204</v>
      </c>
      <c r="B17" s="144">
        <f t="shared" ref="B17:B18" si="3">+B9</f>
        <v>84.5</v>
      </c>
      <c r="C17" s="144">
        <f t="shared" ref="C17:C18" si="4">+E9</f>
        <v>94.5</v>
      </c>
      <c r="D17" s="145">
        <f t="shared" ref="D17:D18" si="5">C9</f>
        <v>5800</v>
      </c>
      <c r="E17" s="50">
        <f>(B17-C17)*D17</f>
        <v>-58000</v>
      </c>
      <c r="F17" t="s">
        <v>147</v>
      </c>
    </row>
    <row r="18" spans="1:8" x14ac:dyDescent="0.3">
      <c r="A18" s="1" t="s">
        <v>205</v>
      </c>
      <c r="B18" s="144">
        <f t="shared" si="3"/>
        <v>76</v>
      </c>
      <c r="C18" s="144">
        <f t="shared" si="4"/>
        <v>76</v>
      </c>
      <c r="D18" s="145">
        <f t="shared" si="5"/>
        <v>4700</v>
      </c>
      <c r="E18" s="50">
        <f>(B18-C18)*D18</f>
        <v>0</v>
      </c>
    </row>
    <row r="19" spans="1:8" ht="23.4" x14ac:dyDescent="0.45">
      <c r="E19" s="146">
        <f>SUM(E16:E18)</f>
        <v>-211600</v>
      </c>
      <c r="F19" t="s">
        <v>147</v>
      </c>
    </row>
    <row r="20" spans="1:8" ht="23.4" x14ac:dyDescent="0.45">
      <c r="E20" s="303"/>
    </row>
    <row r="21" spans="1:8" ht="23.4" x14ac:dyDescent="0.45">
      <c r="E21" s="303"/>
    </row>
    <row r="22" spans="1:8" x14ac:dyDescent="0.3">
      <c r="E22" s="304"/>
    </row>
    <row r="23" spans="1:8" x14ac:dyDescent="0.3">
      <c r="A23" s="26" t="s">
        <v>209</v>
      </c>
      <c r="B23" s="147" t="s">
        <v>198</v>
      </c>
      <c r="C23" s="26" t="s">
        <v>200</v>
      </c>
      <c r="D23" s="65" t="s">
        <v>192</v>
      </c>
      <c r="E23" s="305" t="s">
        <v>210</v>
      </c>
      <c r="G23" s="31">
        <f>E19+E27</f>
        <v>-445500</v>
      </c>
    </row>
    <row r="24" spans="1:8" x14ac:dyDescent="0.3">
      <c r="A24" s="1" t="s">
        <v>203</v>
      </c>
      <c r="B24" s="148">
        <v>6400</v>
      </c>
      <c r="C24" s="148">
        <v>5000</v>
      </c>
      <c r="D24" s="144">
        <f>C16</f>
        <v>52</v>
      </c>
      <c r="E24" s="50">
        <f>(B24-C24)*D24</f>
        <v>72800</v>
      </c>
    </row>
    <row r="25" spans="1:8" x14ac:dyDescent="0.3">
      <c r="A25" s="1" t="s">
        <v>204</v>
      </c>
      <c r="B25" s="148">
        <v>5800</v>
      </c>
      <c r="C25" s="148">
        <v>8000</v>
      </c>
      <c r="D25" s="144">
        <f>C17</f>
        <v>94.5</v>
      </c>
      <c r="E25" s="50">
        <f t="shared" ref="E25:E26" si="6">(B25-C25)*D25</f>
        <v>-207900</v>
      </c>
    </row>
    <row r="26" spans="1:8" x14ac:dyDescent="0.3">
      <c r="A26" s="1" t="s">
        <v>205</v>
      </c>
      <c r="B26" s="148">
        <v>4700</v>
      </c>
      <c r="C26" s="148">
        <v>6000</v>
      </c>
      <c r="D26" s="144">
        <f>C18</f>
        <v>76</v>
      </c>
      <c r="E26" s="50">
        <f t="shared" si="6"/>
        <v>-98800</v>
      </c>
    </row>
    <row r="27" spans="1:8" ht="23.4" x14ac:dyDescent="0.45">
      <c r="B27">
        <f>+SUM(B24:B26)</f>
        <v>16900</v>
      </c>
      <c r="C27">
        <f>+SUM(C24:C26)</f>
        <v>19000</v>
      </c>
      <c r="E27" s="146">
        <f>SUM(E24:E26)</f>
        <v>-233900</v>
      </c>
    </row>
    <row r="28" spans="1:8" ht="38.4" customHeight="1" x14ac:dyDescent="0.3">
      <c r="E28" s="31"/>
    </row>
    <row r="29" spans="1:8" ht="38.4" customHeight="1" x14ac:dyDescent="0.3">
      <c r="A29" s="149" t="s">
        <v>211</v>
      </c>
      <c r="B29" s="150">
        <v>-162687</v>
      </c>
      <c r="E29" s="31"/>
    </row>
    <row r="30" spans="1:8" x14ac:dyDescent="0.3">
      <c r="E30" s="31"/>
    </row>
    <row r="31" spans="1:8" x14ac:dyDescent="0.3">
      <c r="E31" s="31"/>
      <c r="H31" s="31"/>
    </row>
    <row r="32" spans="1:8" x14ac:dyDescent="0.3">
      <c r="E32" s="31"/>
    </row>
    <row r="33" spans="1:9" ht="28.8" x14ac:dyDescent="0.3">
      <c r="A33" s="26" t="s">
        <v>212</v>
      </c>
      <c r="B33" s="26" t="s">
        <v>213</v>
      </c>
      <c r="C33" s="26" t="s">
        <v>214</v>
      </c>
      <c r="D33" s="65" t="s">
        <v>215</v>
      </c>
      <c r="E33" s="65" t="s">
        <v>216</v>
      </c>
      <c r="F33" s="26" t="s">
        <v>192</v>
      </c>
      <c r="G33" s="26" t="s">
        <v>186</v>
      </c>
      <c r="I33" s="68" t="s">
        <v>217</v>
      </c>
    </row>
    <row r="34" spans="1:9" x14ac:dyDescent="0.3">
      <c r="A34" s="1" t="s">
        <v>203</v>
      </c>
      <c r="B34" s="1">
        <v>6400</v>
      </c>
      <c r="C34" s="151">
        <v>0.26319999999999999</v>
      </c>
      <c r="D34" s="131">
        <f>$B$37*C34</f>
        <v>4448.08</v>
      </c>
      <c r="E34" s="131">
        <f>B34-D34</f>
        <v>1951.92</v>
      </c>
      <c r="F34" s="2">
        <v>52</v>
      </c>
      <c r="G34" s="2">
        <f>1952*52</f>
        <v>101504</v>
      </c>
      <c r="H34" t="s">
        <v>146</v>
      </c>
      <c r="I34" s="152">
        <f>B34/$B$37</f>
        <v>0.378698224852071</v>
      </c>
    </row>
    <row r="35" spans="1:9" x14ac:dyDescent="0.3">
      <c r="A35" s="1" t="s">
        <v>204</v>
      </c>
      <c r="B35" s="1">
        <v>5800</v>
      </c>
      <c r="C35" s="151">
        <v>0.42099999999999999</v>
      </c>
      <c r="D35" s="131">
        <f>B37*C35</f>
        <v>7114.9</v>
      </c>
      <c r="E35" s="131">
        <f t="shared" ref="E35:E36" si="7">B35-D35</f>
        <v>-1314.8999999999996</v>
      </c>
      <c r="F35" s="2">
        <v>94.5</v>
      </c>
      <c r="G35" s="2">
        <f>-1315*94.5</f>
        <v>-124267.5</v>
      </c>
      <c r="H35" t="s">
        <v>147</v>
      </c>
      <c r="I35" s="152">
        <f t="shared" ref="I35:I36" si="8">B35/$B$37</f>
        <v>0.34319526627218933</v>
      </c>
    </row>
    <row r="36" spans="1:9" x14ac:dyDescent="0.3">
      <c r="A36" s="1" t="s">
        <v>205</v>
      </c>
      <c r="B36" s="1">
        <v>4700</v>
      </c>
      <c r="C36" s="151">
        <v>0.31580000000000003</v>
      </c>
      <c r="D36" s="131">
        <f>B37*C36</f>
        <v>5337.02</v>
      </c>
      <c r="E36" s="131">
        <f t="shared" si="7"/>
        <v>-637.02000000000044</v>
      </c>
      <c r="F36" s="2">
        <v>76</v>
      </c>
      <c r="G36" s="2">
        <f>-637*76</f>
        <v>-48412</v>
      </c>
      <c r="H36" t="s">
        <v>147</v>
      </c>
      <c r="I36" s="152">
        <f t="shared" si="8"/>
        <v>0.27810650887573962</v>
      </c>
    </row>
    <row r="37" spans="1:9" x14ac:dyDescent="0.3">
      <c r="A37" s="26" t="s">
        <v>61</v>
      </c>
      <c r="B37" s="26">
        <f>SUM(B34:B36)</f>
        <v>16900</v>
      </c>
      <c r="C37" s="153">
        <f>SUM(C34:C36)</f>
        <v>1</v>
      </c>
      <c r="D37" s="154">
        <f>SUM(D34:D36)</f>
        <v>16900</v>
      </c>
      <c r="E37" s="131">
        <f>1952-1315-637</f>
        <v>0</v>
      </c>
      <c r="F37" s="26"/>
      <c r="G37" s="155">
        <f>SUM(G34:G36)</f>
        <v>-71175.5</v>
      </c>
      <c r="H37" t="s">
        <v>147</v>
      </c>
      <c r="I37" s="156">
        <f>SUM(I34:I36)</f>
        <v>0.99999999999999989</v>
      </c>
    </row>
    <row r="39" spans="1:9" x14ac:dyDescent="0.3">
      <c r="A39" s="157" t="s">
        <v>218</v>
      </c>
      <c r="B39" s="158">
        <f>G37</f>
        <v>-71175.5</v>
      </c>
      <c r="C39" t="s">
        <v>147</v>
      </c>
    </row>
    <row r="40" spans="1:9" x14ac:dyDescent="0.3">
      <c r="A40" s="149" t="s">
        <v>211</v>
      </c>
      <c r="B40" s="150">
        <v>-162687</v>
      </c>
      <c r="C40" t="s">
        <v>147</v>
      </c>
    </row>
    <row r="41" spans="1:9" x14ac:dyDescent="0.3">
      <c r="B41" s="31">
        <f>B39+B40</f>
        <v>-233862.5</v>
      </c>
      <c r="D41" s="159">
        <f>5000/19000</f>
        <v>0.26315789473684209</v>
      </c>
      <c r="E41" s="160" t="s">
        <v>219</v>
      </c>
      <c r="F41" s="161" t="s">
        <v>220</v>
      </c>
    </row>
    <row r="42" spans="1:9" x14ac:dyDescent="0.3">
      <c r="B42" s="162"/>
      <c r="D42" s="159">
        <f>8000/19000</f>
        <v>0.42105263157894735</v>
      </c>
      <c r="E42" s="160" t="s">
        <v>221</v>
      </c>
      <c r="F42" s="161" t="s">
        <v>222</v>
      </c>
    </row>
    <row r="43" spans="1:9" x14ac:dyDescent="0.3">
      <c r="B43" s="31"/>
      <c r="D43" s="159">
        <f>6000/19000</f>
        <v>0.31578947368421051</v>
      </c>
      <c r="E43" s="160" t="s">
        <v>223</v>
      </c>
      <c r="F43" s="161" t="s">
        <v>224</v>
      </c>
    </row>
    <row r="44" spans="1:9" x14ac:dyDescent="0.3">
      <c r="D44" s="163">
        <f>SUM(D41:D43)</f>
        <v>0.99999999999999989</v>
      </c>
      <c r="E44" s="161"/>
      <c r="F44" s="161"/>
    </row>
    <row r="49" spans="2:4" x14ac:dyDescent="0.3">
      <c r="B49" t="s">
        <v>192</v>
      </c>
      <c r="C49" s="164">
        <v>1472000</v>
      </c>
    </row>
    <row r="50" spans="2:4" x14ac:dyDescent="0.3">
      <c r="C50" s="164">
        <v>-162687</v>
      </c>
      <c r="D50" t="s">
        <v>225</v>
      </c>
    </row>
    <row r="51" spans="2:4" x14ac:dyDescent="0.3">
      <c r="C51" s="164">
        <v>-71175</v>
      </c>
      <c r="D51" t="s">
        <v>226</v>
      </c>
    </row>
    <row r="52" spans="2:4" x14ac:dyDescent="0.3">
      <c r="C52" s="164">
        <v>-211600</v>
      </c>
      <c r="D52" t="s">
        <v>227</v>
      </c>
    </row>
    <row r="54" spans="2:4" x14ac:dyDescent="0.3">
      <c r="B54" t="s">
        <v>207</v>
      </c>
      <c r="C54" s="164">
        <f>C49+C50+C51+C52</f>
        <v>1026538</v>
      </c>
    </row>
  </sheetData>
  <mergeCells count="3">
    <mergeCell ref="B6:D6"/>
    <mergeCell ref="E6:G6"/>
    <mergeCell ref="A1:H1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2231-6F13-4A79-9FEA-15AE9EFFBFC8}">
  <dimension ref="A1:I78"/>
  <sheetViews>
    <sheetView showGridLines="0" zoomScale="189" zoomScaleNormal="189" workbookViewId="0">
      <selection activeCell="A2" sqref="A2"/>
    </sheetView>
  </sheetViews>
  <sheetFormatPr baseColWidth="10" defaultRowHeight="14.4" x14ac:dyDescent="0.3"/>
  <cols>
    <col min="1" max="1" width="13.33203125" bestFit="1" customWidth="1"/>
    <col min="3" max="3" width="16.5546875" customWidth="1"/>
    <col min="4" max="4" width="20.44140625" bestFit="1" customWidth="1"/>
    <col min="5" max="5" width="13" customWidth="1"/>
    <col min="8" max="8" width="14.88671875" bestFit="1" customWidth="1"/>
  </cols>
  <sheetData>
    <row r="1" spans="1:9" x14ac:dyDescent="0.3">
      <c r="A1" s="329" t="s">
        <v>476</v>
      </c>
      <c r="B1" s="329"/>
      <c r="C1" s="329"/>
      <c r="D1" s="329"/>
      <c r="E1" s="329"/>
      <c r="F1" s="329"/>
      <c r="G1" s="329"/>
      <c r="H1" s="329"/>
    </row>
    <row r="2" spans="1:9" x14ac:dyDescent="0.3">
      <c r="A2" t="s">
        <v>228</v>
      </c>
      <c r="I2" s="166"/>
    </row>
    <row r="3" spans="1:9" ht="15" thickBot="1" x14ac:dyDescent="0.35">
      <c r="G3" s="167"/>
    </row>
    <row r="4" spans="1:9" ht="15" thickBot="1" x14ac:dyDescent="0.35">
      <c r="A4" s="168"/>
      <c r="B4" s="340" t="s">
        <v>229</v>
      </c>
      <c r="C4" s="341"/>
      <c r="D4" s="340" t="s">
        <v>230</v>
      </c>
      <c r="E4" s="341"/>
    </row>
    <row r="5" spans="1:9" ht="15" thickBot="1" x14ac:dyDescent="0.35">
      <c r="A5" s="169"/>
      <c r="B5" s="170" t="s">
        <v>231</v>
      </c>
      <c r="C5" s="170" t="s">
        <v>232</v>
      </c>
      <c r="D5" s="170" t="s">
        <v>231</v>
      </c>
      <c r="E5" s="170" t="s">
        <v>232</v>
      </c>
    </row>
    <row r="6" spans="1:9" ht="15" thickBot="1" x14ac:dyDescent="0.35">
      <c r="A6" s="169" t="s">
        <v>233</v>
      </c>
      <c r="B6" s="171">
        <v>100</v>
      </c>
      <c r="C6" s="170">
        <v>3040</v>
      </c>
      <c r="D6" s="171">
        <v>95</v>
      </c>
      <c r="E6" s="170">
        <v>3708</v>
      </c>
    </row>
    <row r="7" spans="1:9" ht="29.4" thickBot="1" x14ac:dyDescent="0.35">
      <c r="A7" s="169" t="s">
        <v>234</v>
      </c>
      <c r="B7" s="171">
        <v>125</v>
      </c>
      <c r="C7" s="170">
        <v>3610</v>
      </c>
      <c r="D7" s="171">
        <v>125</v>
      </c>
      <c r="E7" s="170">
        <v>3670</v>
      </c>
    </row>
    <row r="8" spans="1:9" x14ac:dyDescent="0.3">
      <c r="A8" s="172" t="s">
        <v>235</v>
      </c>
      <c r="B8" s="173">
        <v>150</v>
      </c>
      <c r="C8" s="174">
        <v>2850</v>
      </c>
      <c r="D8" s="173">
        <v>148</v>
      </c>
      <c r="E8" s="174">
        <v>2910</v>
      </c>
    </row>
    <row r="9" spans="1:9" x14ac:dyDescent="0.3">
      <c r="A9" s="175" t="s">
        <v>236</v>
      </c>
      <c r="B9" s="1"/>
      <c r="C9" s="1">
        <f>SUM(C6:C8)</f>
        <v>9500</v>
      </c>
      <c r="D9" s="1"/>
      <c r="E9" s="1">
        <f t="shared" ref="E9" si="0">SUM(E6:E8)</f>
        <v>10288</v>
      </c>
      <c r="G9" t="s">
        <v>171</v>
      </c>
      <c r="H9" s="88">
        <f>1314166+5555</f>
        <v>1319721</v>
      </c>
    </row>
    <row r="10" spans="1:9" x14ac:dyDescent="0.3">
      <c r="G10" t="s">
        <v>237</v>
      </c>
      <c r="H10" s="88">
        <f>H9*0.1</f>
        <v>131972.1</v>
      </c>
    </row>
    <row r="11" spans="1:9" x14ac:dyDescent="0.3">
      <c r="A11" s="176" t="s">
        <v>191</v>
      </c>
      <c r="G11" t="s">
        <v>238</v>
      </c>
      <c r="H11" s="88">
        <v>5000</v>
      </c>
    </row>
    <row r="12" spans="1:9" x14ac:dyDescent="0.3">
      <c r="A12" s="177" t="s">
        <v>239</v>
      </c>
      <c r="B12" s="178">
        <f>B6*C6+B7*C7+B8*C8</f>
        <v>1182750</v>
      </c>
      <c r="C12" s="179">
        <f>B12/C9</f>
        <v>124.5</v>
      </c>
      <c r="E12" s="180"/>
      <c r="H12" s="88">
        <f>H9-H10-H11</f>
        <v>1182748.8999999999</v>
      </c>
    </row>
    <row r="13" spans="1:9" x14ac:dyDescent="0.3">
      <c r="A13" s="177" t="s">
        <v>240</v>
      </c>
      <c r="B13" s="178">
        <f>D6*E6+D7*E7+D8*E8</f>
        <v>1241690</v>
      </c>
      <c r="C13" s="181">
        <f>B13/E9</f>
        <v>120.69304043545878</v>
      </c>
      <c r="E13" s="182"/>
    </row>
    <row r="14" spans="1:9" x14ac:dyDescent="0.3">
      <c r="B14" s="183">
        <f>B12-B13</f>
        <v>-58940</v>
      </c>
      <c r="C14" t="s">
        <v>72</v>
      </c>
    </row>
    <row r="15" spans="1:9" x14ac:dyDescent="0.3">
      <c r="B15" s="183"/>
    </row>
    <row r="16" spans="1:9" x14ac:dyDescent="0.3">
      <c r="A16" s="36" t="s">
        <v>241</v>
      </c>
    </row>
    <row r="17" spans="1:7" x14ac:dyDescent="0.3">
      <c r="A17" s="177" t="s">
        <v>242</v>
      </c>
      <c r="B17" s="184">
        <f>C9/(360*40)</f>
        <v>0.65972222222222221</v>
      </c>
      <c r="C17" s="185" t="s">
        <v>243</v>
      </c>
    </row>
    <row r="18" spans="1:7" x14ac:dyDescent="0.3">
      <c r="A18" s="177" t="s">
        <v>244</v>
      </c>
      <c r="B18" s="184">
        <f>E9/(360*40)</f>
        <v>0.71444444444444444</v>
      </c>
      <c r="C18" s="185" t="s">
        <v>245</v>
      </c>
    </row>
    <row r="20" spans="1:7" x14ac:dyDescent="0.3">
      <c r="A20" s="36" t="s">
        <v>148</v>
      </c>
    </row>
    <row r="22" spans="1:7" ht="13.2" customHeight="1" x14ac:dyDescent="0.3">
      <c r="A22" s="342" t="s">
        <v>246</v>
      </c>
      <c r="B22" s="342"/>
      <c r="C22" s="342"/>
    </row>
    <row r="23" spans="1:7" ht="13.2" customHeight="1" x14ac:dyDescent="0.3">
      <c r="A23" s="1" t="s">
        <v>247</v>
      </c>
      <c r="B23" s="186">
        <f>(C6-E6)*D6</f>
        <v>-63460</v>
      </c>
      <c r="C23" s="187" t="s">
        <v>248</v>
      </c>
    </row>
    <row r="24" spans="1:7" x14ac:dyDescent="0.3">
      <c r="A24" s="1" t="s">
        <v>249</v>
      </c>
      <c r="B24" s="186">
        <f>(C7-E7)*D7</f>
        <v>-7500</v>
      </c>
      <c r="C24" s="45" t="s">
        <v>250</v>
      </c>
      <c r="G24" s="188"/>
    </row>
    <row r="25" spans="1:7" x14ac:dyDescent="0.3">
      <c r="A25" s="1" t="s">
        <v>251</v>
      </c>
      <c r="B25" s="186">
        <f>(C8-E8)*D8</f>
        <v>-8880</v>
      </c>
      <c r="C25" s="45" t="s">
        <v>252</v>
      </c>
      <c r="G25" s="188"/>
    </row>
    <row r="26" spans="1:7" x14ac:dyDescent="0.3">
      <c r="A26" s="1" t="s">
        <v>61</v>
      </c>
      <c r="B26" s="189">
        <f>SUM(B23:B25)</f>
        <v>-79840</v>
      </c>
      <c r="C26" s="190" t="s">
        <v>253</v>
      </c>
    </row>
    <row r="28" spans="1:7" x14ac:dyDescent="0.3">
      <c r="A28" s="36" t="s">
        <v>41</v>
      </c>
    </row>
    <row r="30" spans="1:7" x14ac:dyDescent="0.3">
      <c r="A30" s="77" t="s">
        <v>254</v>
      </c>
      <c r="B30" s="191">
        <f>(C9-E9)*C13</f>
        <v>-95106.115863141516</v>
      </c>
      <c r="C30" s="343" t="s">
        <v>255</v>
      </c>
      <c r="D30" s="343"/>
      <c r="E30" s="75"/>
      <c r="F30" s="75"/>
      <c r="G30" s="75"/>
    </row>
    <row r="31" spans="1:7" x14ac:dyDescent="0.3">
      <c r="A31" s="75" t="s">
        <v>184</v>
      </c>
      <c r="B31" s="192">
        <f>G38</f>
        <v>15266.115863141476</v>
      </c>
      <c r="C31" s="193">
        <v>2</v>
      </c>
      <c r="D31" s="75"/>
      <c r="E31" s="75"/>
      <c r="F31" s="75"/>
      <c r="G31" s="75"/>
    </row>
    <row r="32" spans="1:7" x14ac:dyDescent="0.3">
      <c r="A32" s="75"/>
      <c r="B32" s="192"/>
      <c r="C32" s="193"/>
      <c r="D32" s="75"/>
      <c r="E32" s="75"/>
      <c r="F32" s="75"/>
      <c r="G32" s="75"/>
    </row>
    <row r="33" spans="1:8" x14ac:dyDescent="0.3">
      <c r="A33" s="77" t="s">
        <v>184</v>
      </c>
      <c r="B33" s="194">
        <f>G38</f>
        <v>15266.115863141476</v>
      </c>
      <c r="C33" s="75"/>
      <c r="D33" s="75"/>
      <c r="E33" s="75"/>
      <c r="F33" s="75"/>
      <c r="G33" s="75"/>
    </row>
    <row r="34" spans="1:8" x14ac:dyDescent="0.3">
      <c r="A34" s="49"/>
      <c r="B34" s="195" t="s">
        <v>256</v>
      </c>
      <c r="C34" s="49" t="s">
        <v>257</v>
      </c>
      <c r="D34" s="195" t="s">
        <v>258</v>
      </c>
      <c r="E34" s="49" t="s">
        <v>186</v>
      </c>
      <c r="F34" s="49" t="s">
        <v>259</v>
      </c>
      <c r="G34" s="49"/>
    </row>
    <row r="35" spans="1:8" x14ac:dyDescent="0.3">
      <c r="A35" s="196" t="s">
        <v>233</v>
      </c>
      <c r="B35" s="197">
        <f>E6/$E$9</f>
        <v>0.36041990668740281</v>
      </c>
      <c r="C35" s="137">
        <f>B35*$C$9</f>
        <v>3423.9891135303269</v>
      </c>
      <c r="D35" s="195">
        <f>C6</f>
        <v>3040</v>
      </c>
      <c r="E35" s="137">
        <f>D35-C35</f>
        <v>-383.9891135303269</v>
      </c>
      <c r="F35" s="198">
        <f>+D6</f>
        <v>95</v>
      </c>
      <c r="G35" s="199">
        <f>F35*E35</f>
        <v>-36478.965785381057</v>
      </c>
      <c r="H35" s="184">
        <f>+D35/$D$38</f>
        <v>0.32</v>
      </c>
    </row>
    <row r="36" spans="1:8" ht="28.8" x14ac:dyDescent="0.3">
      <c r="A36" s="196" t="s">
        <v>234</v>
      </c>
      <c r="B36" s="197">
        <f>E7/$E$9</f>
        <v>0.35672628304821152</v>
      </c>
      <c r="C36" s="137">
        <f t="shared" ref="C36:C37" si="1">B36*$C$9</f>
        <v>3388.8996889580094</v>
      </c>
      <c r="D36" s="195">
        <f>C7</f>
        <v>3610</v>
      </c>
      <c r="E36" s="137">
        <f t="shared" ref="E36:E37" si="2">D36-C36</f>
        <v>221.10031104199061</v>
      </c>
      <c r="F36" s="198">
        <f>+D7</f>
        <v>125</v>
      </c>
      <c r="G36" s="199">
        <f t="shared" ref="G36:G37" si="3">F36*E36</f>
        <v>27637.538880248827</v>
      </c>
      <c r="H36" s="184">
        <f t="shared" ref="H36:H37" si="4">+D36/$D$38</f>
        <v>0.38</v>
      </c>
    </row>
    <row r="37" spans="1:8" x14ac:dyDescent="0.3">
      <c r="A37" s="196" t="s">
        <v>235</v>
      </c>
      <c r="B37" s="197">
        <f>E8/$E$9</f>
        <v>0.28285381026438572</v>
      </c>
      <c r="C37" s="137">
        <f t="shared" si="1"/>
        <v>2687.1111975116642</v>
      </c>
      <c r="D37" s="195">
        <f>C8</f>
        <v>2850</v>
      </c>
      <c r="E37" s="137">
        <f t="shared" si="2"/>
        <v>162.88880248833584</v>
      </c>
      <c r="F37" s="198">
        <f>+D8</f>
        <v>148</v>
      </c>
      <c r="G37" s="199">
        <f t="shared" si="3"/>
        <v>24107.542768273706</v>
      </c>
      <c r="H37" s="184">
        <f t="shared" si="4"/>
        <v>0.3</v>
      </c>
    </row>
    <row r="38" spans="1:8" x14ac:dyDescent="0.3">
      <c r="A38" s="49" t="s">
        <v>61</v>
      </c>
      <c r="B38" s="200">
        <f t="shared" ref="B38:E38" si="5">SUM(B35:B37)</f>
        <v>1</v>
      </c>
      <c r="C38" s="137">
        <f t="shared" si="5"/>
        <v>9500</v>
      </c>
      <c r="D38" s="201">
        <f t="shared" si="5"/>
        <v>9500</v>
      </c>
      <c r="E38" s="137">
        <f t="shared" si="5"/>
        <v>-4.5474735088646412E-13</v>
      </c>
      <c r="F38" s="198"/>
      <c r="G38" s="202">
        <f>SUM(G35:G37)</f>
        <v>15266.115863141476</v>
      </c>
      <c r="H38" t="s">
        <v>260</v>
      </c>
    </row>
    <row r="50" spans="1:7" x14ac:dyDescent="0.3">
      <c r="A50" s="203" t="s">
        <v>179</v>
      </c>
    </row>
    <row r="51" spans="1:7" x14ac:dyDescent="0.3">
      <c r="A51" s="339" t="s">
        <v>261</v>
      </c>
      <c r="B51" s="339"/>
      <c r="C51" s="339"/>
      <c r="D51" s="339"/>
      <c r="F51" s="317" t="s">
        <v>262</v>
      </c>
      <c r="G51" s="317"/>
    </row>
    <row r="52" spans="1:7" x14ac:dyDescent="0.3">
      <c r="A52" s="1" t="s">
        <v>247</v>
      </c>
      <c r="B52" s="186">
        <f>(B6-D6)*C6</f>
        <v>15200</v>
      </c>
      <c r="C52" s="1" t="s">
        <v>146</v>
      </c>
      <c r="D52" s="45" t="s">
        <v>263</v>
      </c>
      <c r="F52" s="190">
        <v>-79840</v>
      </c>
      <c r="G52" s="1" t="s">
        <v>264</v>
      </c>
    </row>
    <row r="53" spans="1:7" x14ac:dyDescent="0.3">
      <c r="A53" s="1" t="s">
        <v>249</v>
      </c>
      <c r="B53" s="186">
        <f>(B7-D7)*C7</f>
        <v>0</v>
      </c>
      <c r="C53" s="1" t="s">
        <v>147</v>
      </c>
      <c r="D53" s="1" t="s">
        <v>265</v>
      </c>
      <c r="F53" s="204">
        <v>20900</v>
      </c>
      <c r="G53" s="1" t="s">
        <v>266</v>
      </c>
    </row>
    <row r="54" spans="1:7" x14ac:dyDescent="0.3">
      <c r="A54" s="1" t="s">
        <v>251</v>
      </c>
      <c r="B54" s="186">
        <f>(B8-D8)*C8</f>
        <v>5700</v>
      </c>
      <c r="C54" s="1" t="s">
        <v>146</v>
      </c>
      <c r="D54" s="1" t="s">
        <v>267</v>
      </c>
      <c r="F54" s="32">
        <f>F52+F53</f>
        <v>-58940</v>
      </c>
      <c r="G54" s="1" t="s">
        <v>268</v>
      </c>
    </row>
    <row r="55" spans="1:7" x14ac:dyDescent="0.3">
      <c r="A55" s="205" t="s">
        <v>61</v>
      </c>
      <c r="B55" s="206">
        <f>SUM(B52:B54)</f>
        <v>20900</v>
      </c>
      <c r="C55" t="s">
        <v>146</v>
      </c>
      <c r="D55" s="182"/>
    </row>
    <row r="56" spans="1:7" x14ac:dyDescent="0.3">
      <c r="B56" s="207"/>
      <c r="D56" s="182"/>
    </row>
    <row r="57" spans="1:7" x14ac:dyDescent="0.3">
      <c r="B57" s="207"/>
      <c r="D57" s="182"/>
    </row>
    <row r="58" spans="1:7" x14ac:dyDescent="0.3">
      <c r="A58" s="118" t="s">
        <v>269</v>
      </c>
      <c r="B58" s="207"/>
      <c r="D58" s="182"/>
    </row>
    <row r="59" spans="1:7" x14ac:dyDescent="0.3">
      <c r="B59" s="207"/>
      <c r="D59" s="182"/>
    </row>
    <row r="66" spans="1:7" x14ac:dyDescent="0.3">
      <c r="A66" s="36" t="s">
        <v>270</v>
      </c>
    </row>
    <row r="69" spans="1:7" x14ac:dyDescent="0.3">
      <c r="A69" s="136">
        <v>210000</v>
      </c>
      <c r="C69" s="1" t="s">
        <v>271</v>
      </c>
      <c r="D69" s="186">
        <f>A69*0.4</f>
        <v>84000</v>
      </c>
      <c r="E69" s="208">
        <f>84000/125</f>
        <v>672</v>
      </c>
      <c r="F69" s="182"/>
    </row>
    <row r="70" spans="1:7" x14ac:dyDescent="0.3">
      <c r="C70" s="1" t="s">
        <v>272</v>
      </c>
      <c r="D70" s="186">
        <f>A69-D69</f>
        <v>126000</v>
      </c>
      <c r="E70" s="208">
        <f>D70/B6</f>
        <v>1260</v>
      </c>
      <c r="F70" s="182"/>
    </row>
    <row r="71" spans="1:7" x14ac:dyDescent="0.3">
      <c r="C71" s="1" t="s">
        <v>273</v>
      </c>
      <c r="D71" s="186"/>
      <c r="E71" s="209">
        <f>+SUM(E69:E70)</f>
        <v>1932</v>
      </c>
      <c r="F71" s="182"/>
    </row>
    <row r="72" spans="1:7" x14ac:dyDescent="0.3">
      <c r="D72" s="207"/>
      <c r="F72" s="182"/>
    </row>
    <row r="73" spans="1:7" x14ac:dyDescent="0.3">
      <c r="D73" s="207"/>
      <c r="E73">
        <f>9500+E71</f>
        <v>11432</v>
      </c>
      <c r="F73" s="182">
        <f>40*360</f>
        <v>14400</v>
      </c>
      <c r="G73">
        <f>E73/F73</f>
        <v>0.79388888888888887</v>
      </c>
    </row>
    <row r="74" spans="1:7" x14ac:dyDescent="0.3">
      <c r="A74" s="36" t="s">
        <v>274</v>
      </c>
      <c r="D74" s="207"/>
      <c r="F74" s="182"/>
    </row>
    <row r="75" spans="1:7" x14ac:dyDescent="0.3">
      <c r="B75" s="1" t="s">
        <v>275</v>
      </c>
      <c r="C75" s="1"/>
      <c r="D75" s="1">
        <f>C9</f>
        <v>9500</v>
      </c>
      <c r="E75" s="190"/>
    </row>
    <row r="76" spans="1:7" x14ac:dyDescent="0.3">
      <c r="B76" s="1" t="s">
        <v>276</v>
      </c>
      <c r="C76" s="1"/>
      <c r="D76" s="1">
        <f>E71+D75</f>
        <v>11432</v>
      </c>
      <c r="E76" s="210" t="s">
        <v>277</v>
      </c>
    </row>
    <row r="77" spans="1:7" x14ac:dyDescent="0.3">
      <c r="B77" s="1" t="s">
        <v>278</v>
      </c>
      <c r="C77" s="1"/>
      <c r="D77" s="1">
        <f>40*360</f>
        <v>14400</v>
      </c>
      <c r="E77" s="190"/>
    </row>
    <row r="78" spans="1:7" x14ac:dyDescent="0.3">
      <c r="B78" s="1" t="s">
        <v>241</v>
      </c>
      <c r="C78" s="1"/>
      <c r="D78" s="211">
        <f>D76/D77</f>
        <v>0.79388888888888887</v>
      </c>
      <c r="E78" s="210" t="s">
        <v>279</v>
      </c>
    </row>
  </sheetData>
  <mergeCells count="7">
    <mergeCell ref="A51:D51"/>
    <mergeCell ref="F51:G51"/>
    <mergeCell ref="A1:H1"/>
    <mergeCell ref="B4:C4"/>
    <mergeCell ref="D4:E4"/>
    <mergeCell ref="A22:C22"/>
    <mergeCell ref="C30:D30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28A-7F9F-447C-87A8-D23F1F438E53}">
  <dimension ref="A1:K49"/>
  <sheetViews>
    <sheetView showGridLines="0" zoomScale="110" zoomScaleNormal="110" workbookViewId="0">
      <selection activeCell="G18" sqref="G18"/>
    </sheetView>
  </sheetViews>
  <sheetFormatPr baseColWidth="10" defaultRowHeight="14.4" x14ac:dyDescent="0.3"/>
  <cols>
    <col min="1" max="1" width="16.88671875" customWidth="1"/>
    <col min="2" max="2" width="25.33203125" customWidth="1"/>
    <col min="3" max="3" width="16.109375" customWidth="1"/>
    <col min="4" max="4" width="14" customWidth="1"/>
    <col min="5" max="5" width="15.6640625" bestFit="1" customWidth="1"/>
    <col min="6" max="6" width="13.109375" customWidth="1"/>
    <col min="7" max="7" width="15" customWidth="1"/>
    <col min="8" max="8" width="15.6640625" customWidth="1"/>
    <col min="9" max="9" width="16.44140625" bestFit="1" customWidth="1"/>
  </cols>
  <sheetData>
    <row r="1" spans="1:10" x14ac:dyDescent="0.3">
      <c r="A1" s="329" t="s">
        <v>359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3">
      <c r="B2" s="1"/>
      <c r="C2" s="317" t="s">
        <v>286</v>
      </c>
      <c r="D2" s="317"/>
      <c r="E2" s="317"/>
      <c r="F2" s="317" t="s">
        <v>287</v>
      </c>
      <c r="G2" s="317"/>
      <c r="H2" s="317"/>
      <c r="I2" s="345" t="s">
        <v>282</v>
      </c>
      <c r="J2" s="346"/>
    </row>
    <row r="3" spans="1:10" x14ac:dyDescent="0.3">
      <c r="B3" s="1"/>
      <c r="C3" s="32" t="s">
        <v>2</v>
      </c>
      <c r="D3" s="32" t="s">
        <v>1</v>
      </c>
      <c r="E3" s="32" t="s">
        <v>0</v>
      </c>
      <c r="F3" s="32" t="s">
        <v>2</v>
      </c>
      <c r="G3" s="32" t="s">
        <v>1</v>
      </c>
      <c r="H3" s="32" t="s">
        <v>0</v>
      </c>
      <c r="I3" s="347"/>
      <c r="J3" s="348"/>
    </row>
    <row r="4" spans="1:10" ht="18" x14ac:dyDescent="0.35">
      <c r="B4" s="1" t="s">
        <v>288</v>
      </c>
      <c r="C4" s="1">
        <v>14000</v>
      </c>
      <c r="D4" s="37">
        <v>12</v>
      </c>
      <c r="E4" s="37">
        <f>+C4*D4</f>
        <v>168000</v>
      </c>
      <c r="F4" s="1">
        <v>12780</v>
      </c>
      <c r="G4" s="217">
        <f>H4/F4</f>
        <v>11.2</v>
      </c>
      <c r="H4" s="37">
        <v>143136</v>
      </c>
      <c r="I4" s="218">
        <f>+H4-E4</f>
        <v>-24864</v>
      </c>
      <c r="J4" s="219" t="s">
        <v>147</v>
      </c>
    </row>
    <row r="5" spans="1:10" ht="18" x14ac:dyDescent="0.35">
      <c r="B5" s="1" t="s">
        <v>289</v>
      </c>
      <c r="C5" s="1">
        <v>2000</v>
      </c>
      <c r="D5" s="37">
        <v>15</v>
      </c>
      <c r="E5" s="37">
        <f t="shared" ref="E5:E6" si="0">+C5*D5</f>
        <v>30000</v>
      </c>
      <c r="F5" s="1">
        <v>3263</v>
      </c>
      <c r="G5" s="217">
        <f t="shared" ref="G5:G6" si="1">+H5/F5</f>
        <v>14.28</v>
      </c>
      <c r="H5" s="37">
        <v>46595.64</v>
      </c>
      <c r="I5" s="218">
        <f t="shared" ref="I5:I6" si="2">+H5-E5</f>
        <v>16595.64</v>
      </c>
      <c r="J5" s="219" t="s">
        <v>146</v>
      </c>
    </row>
    <row r="6" spans="1:10" ht="18" x14ac:dyDescent="0.35">
      <c r="B6" s="1" t="s">
        <v>290</v>
      </c>
      <c r="C6" s="1">
        <v>4000</v>
      </c>
      <c r="D6" s="37">
        <v>3</v>
      </c>
      <c r="E6" s="37">
        <f t="shared" si="0"/>
        <v>12000</v>
      </c>
      <c r="F6" s="1">
        <v>4803</v>
      </c>
      <c r="G6" s="217">
        <f t="shared" si="1"/>
        <v>3.0999999999999996</v>
      </c>
      <c r="H6" s="37">
        <v>14889.3</v>
      </c>
      <c r="I6" s="218">
        <f t="shared" si="2"/>
        <v>2889.2999999999993</v>
      </c>
      <c r="J6" s="219" t="s">
        <v>146</v>
      </c>
    </row>
    <row r="7" spans="1:10" ht="18" x14ac:dyDescent="0.35">
      <c r="B7" s="1"/>
      <c r="C7" s="1">
        <f>SUM(C4:C6)</f>
        <v>20000</v>
      </c>
      <c r="D7" s="30">
        <f>E7/C7</f>
        <v>10.5</v>
      </c>
      <c r="E7" s="2">
        <f>SUM(E4:E6)</f>
        <v>210000</v>
      </c>
      <c r="F7" s="1">
        <f>SUM(F4:F6)</f>
        <v>20846</v>
      </c>
      <c r="G7" s="1"/>
      <c r="H7" s="2">
        <f>SUM(H4:H6)</f>
        <v>204620.94</v>
      </c>
      <c r="I7" s="220">
        <f>SUM(I4:I6)</f>
        <v>-5379.0600000000013</v>
      </c>
      <c r="J7" s="219" t="s">
        <v>147</v>
      </c>
    </row>
    <row r="10" spans="1:10" x14ac:dyDescent="0.3">
      <c r="A10" s="1"/>
      <c r="B10" s="320" t="s">
        <v>291</v>
      </c>
      <c r="C10" s="322"/>
      <c r="D10" s="320" t="s">
        <v>289</v>
      </c>
      <c r="E10" s="322"/>
      <c r="F10" s="320" t="s">
        <v>292</v>
      </c>
      <c r="G10" s="322"/>
      <c r="H10" s="274" t="s">
        <v>282</v>
      </c>
    </row>
    <row r="11" spans="1:10" x14ac:dyDescent="0.3">
      <c r="A11" s="1" t="s">
        <v>283</v>
      </c>
      <c r="B11" s="37">
        <f>(G4-D4)*F4</f>
        <v>-10224.000000000009</v>
      </c>
      <c r="C11" s="32" t="s">
        <v>147</v>
      </c>
      <c r="D11" s="37">
        <f>(G5-D5)*F5</f>
        <v>-2349.3600000000019</v>
      </c>
      <c r="E11" s="32" t="s">
        <v>147</v>
      </c>
      <c r="F11" s="37">
        <f>(G6-D6)*F6</f>
        <v>480.29999999999831</v>
      </c>
      <c r="G11" s="32" t="s">
        <v>146</v>
      </c>
      <c r="H11" s="72">
        <f>+F11+D11+B11</f>
        <v>-12093.060000000012</v>
      </c>
      <c r="I11" s="36" t="s">
        <v>283</v>
      </c>
    </row>
    <row r="12" spans="1:10" x14ac:dyDescent="0.3">
      <c r="A12" s="49" t="s">
        <v>284</v>
      </c>
      <c r="B12" s="22">
        <f>(F4-C4)*D4</f>
        <v>-14640</v>
      </c>
      <c r="C12" s="195" t="s">
        <v>147</v>
      </c>
      <c r="D12" s="22">
        <f>(F5-C5)*D5</f>
        <v>18945</v>
      </c>
      <c r="E12" s="195" t="s">
        <v>146</v>
      </c>
      <c r="F12" s="22">
        <f>(F6-C6)*D6</f>
        <v>2409</v>
      </c>
      <c r="G12" s="221" t="s">
        <v>146</v>
      </c>
      <c r="H12" s="285">
        <f>+F12+D12+B12</f>
        <v>6714</v>
      </c>
      <c r="I12" s="36" t="s">
        <v>284</v>
      </c>
    </row>
    <row r="13" spans="1:10" x14ac:dyDescent="0.3">
      <c r="A13" s="49"/>
      <c r="B13" s="22">
        <f>B11+B12</f>
        <v>-24864.000000000007</v>
      </c>
      <c r="C13" s="195" t="s">
        <v>147</v>
      </c>
      <c r="D13" s="22">
        <f>D12+D11</f>
        <v>16595.64</v>
      </c>
      <c r="E13" s="195" t="s">
        <v>146</v>
      </c>
      <c r="F13" s="22">
        <f>F11+F12</f>
        <v>2889.2999999999984</v>
      </c>
      <c r="G13" s="195" t="s">
        <v>146</v>
      </c>
      <c r="H13" s="49"/>
    </row>
    <row r="19" spans="1:11" x14ac:dyDescent="0.3">
      <c r="A19" t="s">
        <v>293</v>
      </c>
      <c r="B19" s="23" t="s">
        <v>294</v>
      </c>
      <c r="C19" s="222">
        <f>(20846-20000)*10.5</f>
        <v>8883</v>
      </c>
      <c r="D19" t="s">
        <v>146</v>
      </c>
    </row>
    <row r="21" spans="1:11" x14ac:dyDescent="0.3">
      <c r="A21" t="s">
        <v>184</v>
      </c>
    </row>
    <row r="22" spans="1:11" x14ac:dyDescent="0.3">
      <c r="B22" s="1"/>
      <c r="C22" s="1" t="s">
        <v>295</v>
      </c>
      <c r="D22" s="1" t="s">
        <v>213</v>
      </c>
      <c r="E22" s="1" t="s">
        <v>296</v>
      </c>
      <c r="F22" s="1" t="s">
        <v>297</v>
      </c>
    </row>
    <row r="23" spans="1:11" x14ac:dyDescent="0.3">
      <c r="A23" s="212" t="s">
        <v>298</v>
      </c>
      <c r="B23" s="1" t="s">
        <v>299</v>
      </c>
      <c r="C23" s="1">
        <f>14/20*20846</f>
        <v>14592.199999999999</v>
      </c>
      <c r="D23" s="223">
        <f>F4</f>
        <v>12780</v>
      </c>
      <c r="E23" s="223">
        <f>D23-C23</f>
        <v>-1812.1999999999989</v>
      </c>
      <c r="F23" s="2">
        <f>E23*D4</f>
        <v>-21746.399999999987</v>
      </c>
      <c r="G23" t="s">
        <v>406</v>
      </c>
      <c r="K23">
        <f>7106+1269+507</f>
        <v>8882</v>
      </c>
    </row>
    <row r="24" spans="1:11" x14ac:dyDescent="0.3">
      <c r="A24" s="212" t="s">
        <v>300</v>
      </c>
      <c r="B24" s="1" t="s">
        <v>301</v>
      </c>
      <c r="C24" s="1">
        <f>2/20*20846</f>
        <v>2084.6</v>
      </c>
      <c r="D24" s="223">
        <f>F5</f>
        <v>3263</v>
      </c>
      <c r="E24" s="223">
        <f t="shared" ref="E24:E25" si="3">D24-C24</f>
        <v>1178.4000000000001</v>
      </c>
      <c r="F24" s="2">
        <f>E24*D5</f>
        <v>17676</v>
      </c>
      <c r="G24" t="s">
        <v>146</v>
      </c>
    </row>
    <row r="25" spans="1:11" x14ac:dyDescent="0.3">
      <c r="A25" s="212" t="s">
        <v>302</v>
      </c>
      <c r="B25" s="1" t="s">
        <v>303</v>
      </c>
      <c r="C25" s="1">
        <f>4/20*20846</f>
        <v>4169.2</v>
      </c>
      <c r="D25" s="223">
        <f>F6</f>
        <v>4803</v>
      </c>
      <c r="E25" s="223">
        <f t="shared" si="3"/>
        <v>633.80000000000018</v>
      </c>
      <c r="F25" s="2">
        <f>E25*D6</f>
        <v>1901.4000000000005</v>
      </c>
      <c r="G25" t="s">
        <v>146</v>
      </c>
    </row>
    <row r="26" spans="1:11" x14ac:dyDescent="0.3">
      <c r="B26" s="1" t="s">
        <v>61</v>
      </c>
      <c r="C26" s="1">
        <f>SUM(C23:C25)</f>
        <v>20846</v>
      </c>
      <c r="D26" s="1">
        <f t="shared" ref="D26:E26" si="4">SUM(D23:D25)</f>
        <v>20846</v>
      </c>
      <c r="E26" s="224">
        <f t="shared" si="4"/>
        <v>1.3642420526593924E-12</v>
      </c>
      <c r="F26" s="43">
        <f>SUM(F23:F25)</f>
        <v>-2168.9999999999864</v>
      </c>
      <c r="G26" t="s">
        <v>147</v>
      </c>
      <c r="H26" s="31">
        <f>F26+C19</f>
        <v>6714.0000000000136</v>
      </c>
    </row>
    <row r="29" spans="1:11" x14ac:dyDescent="0.3">
      <c r="A29" t="s">
        <v>285</v>
      </c>
    </row>
    <row r="30" spans="1:11" x14ac:dyDescent="0.3">
      <c r="B30" t="s">
        <v>304</v>
      </c>
    </row>
    <row r="31" spans="1:11" x14ac:dyDescent="0.3">
      <c r="B31" t="s">
        <v>305</v>
      </c>
    </row>
    <row r="33" spans="1:9" x14ac:dyDescent="0.3">
      <c r="A33" s="23" t="s">
        <v>306</v>
      </c>
      <c r="B33" t="s">
        <v>307</v>
      </c>
    </row>
    <row r="35" spans="1:9" x14ac:dyDescent="0.3">
      <c r="D35" s="225"/>
    </row>
    <row r="36" spans="1:9" x14ac:dyDescent="0.3">
      <c r="A36" s="23" t="s">
        <v>308</v>
      </c>
      <c r="D36" s="225"/>
    </row>
    <row r="38" spans="1:9" x14ac:dyDescent="0.3">
      <c r="B38" s="175"/>
      <c r="C38" s="226" t="s">
        <v>51</v>
      </c>
      <c r="D38" s="226" t="s">
        <v>309</v>
      </c>
      <c r="E38" s="1" t="s">
        <v>310</v>
      </c>
    </row>
    <row r="39" spans="1:9" x14ac:dyDescent="0.3">
      <c r="B39" s="227" t="s">
        <v>311</v>
      </c>
      <c r="C39" s="226">
        <v>0.5</v>
      </c>
      <c r="D39" s="226">
        <v>3</v>
      </c>
      <c r="E39" s="37">
        <f>C39*D39</f>
        <v>1.5</v>
      </c>
    </row>
    <row r="40" spans="1:9" x14ac:dyDescent="0.3">
      <c r="B40" s="227" t="s">
        <v>312</v>
      </c>
      <c r="C40" s="226">
        <v>0.2</v>
      </c>
      <c r="D40" s="226">
        <v>2.5</v>
      </c>
      <c r="E40" s="37">
        <f t="shared" ref="E40:E48" si="5">C40*D40</f>
        <v>0.5</v>
      </c>
    </row>
    <row r="41" spans="1:9" x14ac:dyDescent="0.3">
      <c r="B41" s="227" t="s">
        <v>313</v>
      </c>
      <c r="C41" s="226">
        <v>0.125</v>
      </c>
      <c r="D41" s="226">
        <v>2.4</v>
      </c>
      <c r="E41" s="37">
        <f t="shared" si="5"/>
        <v>0.3</v>
      </c>
    </row>
    <row r="42" spans="1:9" x14ac:dyDescent="0.3">
      <c r="B42" s="227" t="s">
        <v>314</v>
      </c>
      <c r="C42" s="226">
        <v>3</v>
      </c>
      <c r="D42" s="226">
        <v>0.5</v>
      </c>
      <c r="E42" s="37">
        <f t="shared" si="5"/>
        <v>1.5</v>
      </c>
    </row>
    <row r="43" spans="1:9" x14ac:dyDescent="0.3">
      <c r="B43" s="227" t="s">
        <v>315</v>
      </c>
      <c r="C43" s="226">
        <v>0.1</v>
      </c>
      <c r="D43" s="226">
        <v>8</v>
      </c>
      <c r="E43" s="37">
        <f t="shared" si="5"/>
        <v>0.8</v>
      </c>
    </row>
    <row r="44" spans="1:9" x14ac:dyDescent="0.3">
      <c r="B44" s="227" t="s">
        <v>316</v>
      </c>
      <c r="C44" s="226">
        <v>1</v>
      </c>
      <c r="D44" s="226">
        <v>0.5</v>
      </c>
      <c r="E44" s="37">
        <f t="shared" si="5"/>
        <v>0.5</v>
      </c>
      <c r="G44" t="s">
        <v>317</v>
      </c>
      <c r="I44" s="31">
        <f>+G5</f>
        <v>14.28</v>
      </c>
    </row>
    <row r="45" spans="1:9" x14ac:dyDescent="0.3">
      <c r="B45" s="227" t="s">
        <v>318</v>
      </c>
      <c r="C45" s="226">
        <v>1</v>
      </c>
      <c r="D45" s="226">
        <v>0.3</v>
      </c>
      <c r="E45" s="37">
        <f t="shared" si="5"/>
        <v>0.3</v>
      </c>
      <c r="G45" t="s">
        <v>319</v>
      </c>
      <c r="I45" s="136">
        <f>+E49</f>
        <v>8.8000000000000007</v>
      </c>
    </row>
    <row r="46" spans="1:9" x14ac:dyDescent="0.3">
      <c r="B46" s="227" t="s">
        <v>320</v>
      </c>
      <c r="C46" s="226">
        <v>1</v>
      </c>
      <c r="D46" s="226">
        <v>0.4</v>
      </c>
      <c r="E46" s="37">
        <f t="shared" si="5"/>
        <v>0.4</v>
      </c>
      <c r="G46" t="s">
        <v>321</v>
      </c>
      <c r="I46" s="31">
        <f>+I44-I45</f>
        <v>5.4799999999999986</v>
      </c>
    </row>
    <row r="47" spans="1:9" x14ac:dyDescent="0.3">
      <c r="B47" s="227" t="s">
        <v>322</v>
      </c>
      <c r="C47" s="226">
        <f>6/60</f>
        <v>0.1</v>
      </c>
      <c r="D47" s="226">
        <v>21</v>
      </c>
      <c r="E47" s="37">
        <f t="shared" si="5"/>
        <v>2.1</v>
      </c>
    </row>
    <row r="48" spans="1:9" x14ac:dyDescent="0.3">
      <c r="B48" s="227" t="s">
        <v>323</v>
      </c>
      <c r="C48" s="226">
        <v>0.3</v>
      </c>
      <c r="D48" s="226">
        <v>3</v>
      </c>
      <c r="E48" s="37">
        <f t="shared" si="5"/>
        <v>0.89999999999999991</v>
      </c>
    </row>
    <row r="49" spans="2:5" x14ac:dyDescent="0.3">
      <c r="B49" s="344" t="s">
        <v>324</v>
      </c>
      <c r="C49" s="344"/>
      <c r="D49" s="344"/>
      <c r="E49" s="37">
        <f>SUM(E39:E48)</f>
        <v>8.8000000000000007</v>
      </c>
    </row>
  </sheetData>
  <mergeCells count="8">
    <mergeCell ref="B10:C10"/>
    <mergeCell ref="D10:E10"/>
    <mergeCell ref="F10:G10"/>
    <mergeCell ref="B49:D49"/>
    <mergeCell ref="A1:J1"/>
    <mergeCell ref="C2:E2"/>
    <mergeCell ref="F2:H2"/>
    <mergeCell ref="I2:J3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0062-5E7B-44BF-A4E2-FEBA16432360}">
  <dimension ref="A1:E42"/>
  <sheetViews>
    <sheetView showGridLines="0" zoomScale="160" zoomScaleNormal="160" workbookViewId="0">
      <selection activeCell="A2" sqref="A2"/>
    </sheetView>
  </sheetViews>
  <sheetFormatPr baseColWidth="10" defaultRowHeight="14.4" x14ac:dyDescent="0.3"/>
  <cols>
    <col min="1" max="1" width="37" bestFit="1" customWidth="1"/>
    <col min="2" max="4" width="17.109375" customWidth="1"/>
  </cols>
  <sheetData>
    <row r="1" spans="1:5" x14ac:dyDescent="0.3">
      <c r="A1" s="329" t="s">
        <v>368</v>
      </c>
      <c r="B1" s="329"/>
      <c r="C1" s="329"/>
      <c r="D1" s="329"/>
      <c r="E1" s="329"/>
    </row>
    <row r="3" spans="1:5" ht="15" thickBot="1" x14ac:dyDescent="0.35">
      <c r="A3" s="23" t="s">
        <v>339</v>
      </c>
    </row>
    <row r="4" spans="1:5" ht="15" thickBot="1" x14ac:dyDescent="0.35">
      <c r="B4" s="230" t="s">
        <v>2</v>
      </c>
      <c r="C4" s="229" t="s">
        <v>1</v>
      </c>
      <c r="D4" s="229" t="s">
        <v>0</v>
      </c>
    </row>
    <row r="5" spans="1:5" ht="18.600000000000001" thickBot="1" x14ac:dyDescent="0.35">
      <c r="A5" s="231" t="s">
        <v>171</v>
      </c>
      <c r="B5" s="232">
        <v>1000</v>
      </c>
      <c r="C5" s="232">
        <v>80</v>
      </c>
      <c r="D5" s="233">
        <v>80000</v>
      </c>
    </row>
    <row r="6" spans="1:5" ht="15" thickBot="1" x14ac:dyDescent="0.35">
      <c r="A6" s="349" t="s">
        <v>325</v>
      </c>
      <c r="B6" s="350"/>
      <c r="C6" s="350"/>
      <c r="D6" s="351"/>
    </row>
    <row r="7" spans="1:5" ht="15" thickBot="1" x14ac:dyDescent="0.35">
      <c r="A7" s="214" t="s">
        <v>326</v>
      </c>
      <c r="B7" s="215">
        <v>2000</v>
      </c>
      <c r="C7" s="215">
        <v>10</v>
      </c>
      <c r="D7" s="234">
        <v>20000</v>
      </c>
    </row>
    <row r="8" spans="1:5" ht="15" thickBot="1" x14ac:dyDescent="0.35">
      <c r="A8" s="214" t="s">
        <v>327</v>
      </c>
      <c r="B8" s="216"/>
      <c r="C8" s="216"/>
      <c r="D8" s="234">
        <v>4000</v>
      </c>
    </row>
    <row r="9" spans="1:5" ht="15" thickBot="1" x14ac:dyDescent="0.35">
      <c r="A9" s="214" t="s">
        <v>328</v>
      </c>
      <c r="B9" s="216"/>
      <c r="C9" s="216"/>
      <c r="D9" s="234">
        <v>6000</v>
      </c>
    </row>
    <row r="10" spans="1:5" ht="15" thickBot="1" x14ac:dyDescent="0.35">
      <c r="A10" s="235" t="s">
        <v>329</v>
      </c>
      <c r="B10" s="236"/>
      <c r="C10" s="236"/>
      <c r="D10" s="237">
        <v>30000</v>
      </c>
    </row>
    <row r="11" spans="1:5" ht="15" thickBot="1" x14ac:dyDescent="0.35">
      <c r="A11" s="349" t="s">
        <v>330</v>
      </c>
      <c r="B11" s="350"/>
      <c r="C11" s="350"/>
      <c r="D11" s="351"/>
    </row>
    <row r="12" spans="1:5" ht="15" thickBot="1" x14ac:dyDescent="0.35">
      <c r="A12" s="214" t="s">
        <v>31</v>
      </c>
      <c r="B12" s="215">
        <v>750</v>
      </c>
      <c r="C12" s="215">
        <v>30</v>
      </c>
      <c r="D12" s="234">
        <v>22500</v>
      </c>
    </row>
    <row r="13" spans="1:5" ht="15" thickBot="1" x14ac:dyDescent="0.35">
      <c r="A13" s="214" t="s">
        <v>331</v>
      </c>
      <c r="B13" s="216"/>
      <c r="C13" s="216"/>
      <c r="D13" s="234">
        <v>8000</v>
      </c>
    </row>
    <row r="14" spans="1:5" ht="15" thickBot="1" x14ac:dyDescent="0.35">
      <c r="A14" s="235" t="s">
        <v>332</v>
      </c>
      <c r="B14" s="236"/>
      <c r="C14" s="236"/>
      <c r="D14" s="237">
        <v>30500</v>
      </c>
    </row>
    <row r="15" spans="1:5" ht="15" thickBot="1" x14ac:dyDescent="0.35">
      <c r="A15" s="349" t="s">
        <v>333</v>
      </c>
      <c r="B15" s="350"/>
      <c r="C15" s="350"/>
      <c r="D15" s="351"/>
    </row>
    <row r="16" spans="1:5" ht="15" thickBot="1" x14ac:dyDescent="0.35">
      <c r="A16" s="214" t="s">
        <v>334</v>
      </c>
      <c r="B16" s="215">
        <v>80000</v>
      </c>
      <c r="C16" s="238">
        <v>0.1</v>
      </c>
      <c r="D16" s="234">
        <v>8000</v>
      </c>
    </row>
    <row r="17" spans="1:4" ht="15" thickBot="1" x14ac:dyDescent="0.35">
      <c r="A17" s="214" t="s">
        <v>335</v>
      </c>
      <c r="B17" s="216"/>
      <c r="C17" s="216"/>
      <c r="D17" s="234">
        <v>9000</v>
      </c>
    </row>
    <row r="18" spans="1:4" ht="15" thickBot="1" x14ac:dyDescent="0.35">
      <c r="A18" s="235" t="s">
        <v>336</v>
      </c>
      <c r="B18" s="236"/>
      <c r="C18" s="236"/>
      <c r="D18" s="237">
        <v>17000</v>
      </c>
    </row>
    <row r="19" spans="1:4" ht="18.600000000000001" thickBot="1" x14ac:dyDescent="0.35">
      <c r="A19" s="239" t="s">
        <v>337</v>
      </c>
      <c r="B19" s="240"/>
      <c r="C19" s="240"/>
      <c r="D19" s="233">
        <v>77500</v>
      </c>
    </row>
    <row r="20" spans="1:4" ht="18.600000000000001" thickBot="1" x14ac:dyDescent="0.35">
      <c r="A20" s="239" t="s">
        <v>338</v>
      </c>
      <c r="B20" s="240"/>
      <c r="C20" s="240"/>
      <c r="D20" s="233">
        <v>2500</v>
      </c>
    </row>
    <row r="22" spans="1:4" x14ac:dyDescent="0.3">
      <c r="A22" s="23" t="s">
        <v>341</v>
      </c>
    </row>
    <row r="42" spans="1:1" x14ac:dyDescent="0.3">
      <c r="A42" s="23" t="s">
        <v>340</v>
      </c>
    </row>
  </sheetData>
  <mergeCells count="4">
    <mergeCell ref="A1:E1"/>
    <mergeCell ref="A15:D15"/>
    <mergeCell ref="A11:D11"/>
    <mergeCell ref="A6:D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B1A4-7308-4F4E-8C95-FE8271890D54}">
  <dimension ref="A1:K77"/>
  <sheetViews>
    <sheetView showGridLines="0" zoomScaleNormal="100" workbookViewId="0">
      <selection activeCell="I25" sqref="I25"/>
    </sheetView>
  </sheetViews>
  <sheetFormatPr baseColWidth="10" defaultRowHeight="14.4" x14ac:dyDescent="0.3"/>
  <cols>
    <col min="1" max="1" width="18.5546875" customWidth="1"/>
    <col min="2" max="2" width="12.33203125" bestFit="1" customWidth="1"/>
    <col min="3" max="3" width="14" customWidth="1"/>
    <col min="4" max="4" width="14.33203125" bestFit="1" customWidth="1"/>
    <col min="5" max="6" width="11.88671875" bestFit="1" customWidth="1"/>
    <col min="7" max="7" width="17.6640625" bestFit="1" customWidth="1"/>
    <col min="8" max="8" width="8.33203125" customWidth="1"/>
    <col min="9" max="9" width="11.88671875" bestFit="1" customWidth="1"/>
  </cols>
  <sheetData>
    <row r="1" spans="1:11" x14ac:dyDescent="0.3">
      <c r="A1" s="329" t="s">
        <v>477</v>
      </c>
      <c r="B1" s="329"/>
      <c r="C1" s="329"/>
      <c r="D1" s="329"/>
      <c r="E1" s="329"/>
      <c r="F1" s="329"/>
      <c r="G1" s="329"/>
      <c r="H1" s="329"/>
    </row>
    <row r="5" spans="1:11" x14ac:dyDescent="0.3">
      <c r="A5" s="32" t="s">
        <v>342</v>
      </c>
      <c r="B5" s="32" t="s">
        <v>171</v>
      </c>
      <c r="C5" s="32" t="s">
        <v>190</v>
      </c>
      <c r="D5" s="32" t="s">
        <v>343</v>
      </c>
      <c r="E5" s="32" t="s">
        <v>344</v>
      </c>
      <c r="F5" s="32" t="s">
        <v>345</v>
      </c>
      <c r="G5" s="32" t="s">
        <v>338</v>
      </c>
      <c r="H5" s="68"/>
    </row>
    <row r="6" spans="1:11" x14ac:dyDescent="0.3">
      <c r="A6" s="32" t="s">
        <v>346</v>
      </c>
      <c r="B6" s="32">
        <v>3.8</v>
      </c>
      <c r="C6" s="241">
        <f>1.2+(9600/16000)+1</f>
        <v>2.8</v>
      </c>
      <c r="D6" s="32">
        <v>12000</v>
      </c>
      <c r="E6" s="33">
        <f>+(B6-C6)*D6</f>
        <v>12000</v>
      </c>
      <c r="F6" s="33"/>
      <c r="G6" s="33"/>
      <c r="H6" s="68"/>
    </row>
    <row r="7" spans="1:11" x14ac:dyDescent="0.3">
      <c r="A7" s="32" t="s">
        <v>347</v>
      </c>
      <c r="B7" s="32">
        <v>3.2</v>
      </c>
      <c r="C7" s="241">
        <v>2</v>
      </c>
      <c r="D7" s="32">
        <v>4000</v>
      </c>
      <c r="E7" s="33">
        <f>+(B7-C7)*D7</f>
        <v>4800.0000000000009</v>
      </c>
      <c r="F7" s="33"/>
      <c r="G7" s="33"/>
      <c r="H7" s="68"/>
      <c r="I7" s="32" t="s">
        <v>171</v>
      </c>
      <c r="J7" s="32" t="s">
        <v>348</v>
      </c>
      <c r="K7" s="32" t="s">
        <v>338</v>
      </c>
    </row>
    <row r="8" spans="1:11" ht="23.4" x14ac:dyDescent="0.45">
      <c r="A8" s="32" t="s">
        <v>61</v>
      </c>
      <c r="B8" s="32"/>
      <c r="C8" s="32"/>
      <c r="D8" s="32">
        <f>SUM(D6:D7)</f>
        <v>16000</v>
      </c>
      <c r="E8" s="33">
        <f>E6+E7</f>
        <v>16800</v>
      </c>
      <c r="F8" s="33">
        <v>15000</v>
      </c>
      <c r="G8" s="242">
        <f>E8-F8</f>
        <v>1800</v>
      </c>
      <c r="H8" s="68"/>
      <c r="I8" s="33">
        <v>58400</v>
      </c>
      <c r="J8" s="241">
        <f>(C6*D6)+(C7*D7)+F8</f>
        <v>56600</v>
      </c>
      <c r="K8" s="243">
        <f>I8-J8</f>
        <v>1800</v>
      </c>
    </row>
    <row r="13" spans="1:11" ht="14.4" customHeight="1" x14ac:dyDescent="0.3">
      <c r="G13" s="331" t="s">
        <v>407</v>
      </c>
      <c r="H13" s="331"/>
      <c r="I13" s="136">
        <f>19200</f>
        <v>19200</v>
      </c>
    </row>
    <row r="14" spans="1:11" x14ac:dyDescent="0.3">
      <c r="G14" s="331"/>
      <c r="H14" s="331"/>
      <c r="I14" s="136">
        <v>9600</v>
      </c>
    </row>
    <row r="15" spans="1:11" x14ac:dyDescent="0.3">
      <c r="G15" s="331"/>
      <c r="H15" s="331"/>
      <c r="I15" s="292">
        <f>I13+I14</f>
        <v>28800</v>
      </c>
    </row>
    <row r="16" spans="1:11" x14ac:dyDescent="0.3">
      <c r="G16" s="68" t="s">
        <v>408</v>
      </c>
      <c r="H16" s="68"/>
      <c r="I16">
        <v>16000</v>
      </c>
    </row>
    <row r="17" spans="1:9" x14ac:dyDescent="0.3">
      <c r="G17" s="68" t="s">
        <v>409</v>
      </c>
      <c r="H17" s="68"/>
      <c r="I17" s="136">
        <f>I15/I16</f>
        <v>1.8</v>
      </c>
    </row>
    <row r="18" spans="1:9" x14ac:dyDescent="0.3">
      <c r="G18" s="68" t="s">
        <v>410</v>
      </c>
      <c r="H18" s="68"/>
      <c r="I18" s="31">
        <f>I17*1.3</f>
        <v>2.3400000000000003</v>
      </c>
    </row>
    <row r="31" spans="1:9" x14ac:dyDescent="0.3">
      <c r="A31" s="1"/>
      <c r="B31" s="32" t="s">
        <v>281</v>
      </c>
      <c r="C31" s="244" t="s">
        <v>346</v>
      </c>
      <c r="D31" s="244" t="s">
        <v>347</v>
      </c>
    </row>
    <row r="32" spans="1:9" x14ac:dyDescent="0.3">
      <c r="A32" s="1" t="s">
        <v>349</v>
      </c>
      <c r="B32" s="116">
        <v>2</v>
      </c>
      <c r="C32" s="245">
        <v>3.8</v>
      </c>
      <c r="D32" s="245">
        <v>3.2</v>
      </c>
    </row>
    <row r="33" spans="1:6" x14ac:dyDescent="0.3">
      <c r="A33" s="1" t="s">
        <v>350</v>
      </c>
      <c r="B33" s="37">
        <f>1.2*16000+9600+8000</f>
        <v>36800</v>
      </c>
      <c r="C33" s="245">
        <f>D6*B32+(1*D6)+6000</f>
        <v>42000</v>
      </c>
      <c r="D33" s="245">
        <f>D7*(B32+0.2)+1000</f>
        <v>9800</v>
      </c>
    </row>
    <row r="34" spans="1:6" x14ac:dyDescent="0.3">
      <c r="A34" s="1" t="s">
        <v>351</v>
      </c>
      <c r="B34" s="37">
        <f>+B32*16000</f>
        <v>32000</v>
      </c>
      <c r="C34" s="245">
        <f>B6*D6</f>
        <v>45600</v>
      </c>
      <c r="D34" s="245">
        <f>D7*B7</f>
        <v>12800</v>
      </c>
    </row>
    <row r="35" spans="1:6" x14ac:dyDescent="0.3">
      <c r="A35" s="1" t="s">
        <v>352</v>
      </c>
      <c r="B35" s="116">
        <f>B34-B33</f>
        <v>-4800</v>
      </c>
      <c r="C35" s="245">
        <f>C34-C33</f>
        <v>3600</v>
      </c>
      <c r="D35" s="245">
        <f t="shared" ref="D35" si="0">D34-D33</f>
        <v>3000</v>
      </c>
      <c r="E35" s="246">
        <f>SUM(B35:D35)</f>
        <v>1800</v>
      </c>
    </row>
    <row r="36" spans="1:6" x14ac:dyDescent="0.3">
      <c r="A36" s="287"/>
      <c r="B36" s="288"/>
      <c r="C36" s="289"/>
      <c r="D36" s="289"/>
      <c r="E36" s="290"/>
      <c r="F36" s="291"/>
    </row>
    <row r="37" spans="1:6" x14ac:dyDescent="0.3">
      <c r="A37" s="287"/>
      <c r="B37" s="288"/>
      <c r="C37" s="289"/>
      <c r="D37" s="289"/>
      <c r="E37" s="290"/>
      <c r="F37" s="291"/>
    </row>
    <row r="38" spans="1:6" x14ac:dyDescent="0.3">
      <c r="A38" s="287"/>
      <c r="B38" s="288"/>
      <c r="C38" s="289"/>
      <c r="D38" s="289"/>
      <c r="E38" s="290"/>
      <c r="F38" s="291"/>
    </row>
    <row r="39" spans="1:6" x14ac:dyDescent="0.3">
      <c r="A39" s="287"/>
      <c r="B39" s="288"/>
      <c r="C39" s="289"/>
      <c r="D39" s="289"/>
      <c r="E39" s="290"/>
      <c r="F39" s="291"/>
    </row>
    <row r="40" spans="1:6" x14ac:dyDescent="0.3">
      <c r="A40" s="287"/>
      <c r="B40" s="288"/>
      <c r="C40" s="289"/>
      <c r="D40" s="289"/>
      <c r="E40" s="290"/>
      <c r="F40" s="291"/>
    </row>
    <row r="41" spans="1:6" x14ac:dyDescent="0.3">
      <c r="A41" s="287"/>
      <c r="B41" s="288"/>
      <c r="C41" s="289"/>
      <c r="D41" s="289"/>
      <c r="E41" s="290"/>
      <c r="F41" s="291"/>
    </row>
    <row r="42" spans="1:6" x14ac:dyDescent="0.3">
      <c r="A42" s="287"/>
      <c r="B42" s="288"/>
      <c r="C42" s="289"/>
      <c r="D42" s="289"/>
      <c r="E42" s="290"/>
      <c r="F42" s="291"/>
    </row>
    <row r="43" spans="1:6" x14ac:dyDescent="0.3">
      <c r="A43" s="287"/>
      <c r="B43" s="288"/>
      <c r="C43" s="289"/>
      <c r="D43" s="289"/>
      <c r="E43" s="290"/>
      <c r="F43" s="291"/>
    </row>
    <row r="44" spans="1:6" x14ac:dyDescent="0.3">
      <c r="A44" s="287"/>
      <c r="B44" s="288"/>
      <c r="C44" s="289"/>
      <c r="D44" s="289"/>
      <c r="E44" s="290"/>
      <c r="F44" s="291"/>
    </row>
    <row r="45" spans="1:6" x14ac:dyDescent="0.3">
      <c r="A45" s="287"/>
      <c r="B45" s="288"/>
      <c r="C45" s="289"/>
      <c r="D45" s="289"/>
      <c r="E45" s="290"/>
      <c r="F45" s="291"/>
    </row>
    <row r="46" spans="1:6" x14ac:dyDescent="0.3">
      <c r="A46" s="287"/>
      <c r="B46" s="288"/>
      <c r="C46" s="289"/>
      <c r="D46" s="289"/>
      <c r="E46" s="290"/>
      <c r="F46" s="291"/>
    </row>
    <row r="48" spans="1:6" x14ac:dyDescent="0.3">
      <c r="A48" s="247" t="s">
        <v>353</v>
      </c>
    </row>
    <row r="50" spans="1:7" ht="18" x14ac:dyDescent="0.35">
      <c r="A50" s="1" t="s">
        <v>190</v>
      </c>
      <c r="B50" s="1">
        <f>D8</f>
        <v>16000</v>
      </c>
      <c r="C50" s="248">
        <f>1.2+(9600/16000)</f>
        <v>1.7999999999999998</v>
      </c>
      <c r="D50" s="37">
        <f>B50*C50</f>
        <v>28799.999999999996</v>
      </c>
      <c r="F50" s="249" t="s">
        <v>354</v>
      </c>
      <c r="G50" s="250">
        <f>1.8*1.3</f>
        <v>2.3400000000000003</v>
      </c>
    </row>
    <row r="51" spans="1:7" ht="41.25" customHeight="1" x14ac:dyDescent="0.3"/>
    <row r="52" spans="1:7" x14ac:dyDescent="0.3">
      <c r="A52" s="1"/>
      <c r="B52" s="32" t="s">
        <v>281</v>
      </c>
      <c r="C52" s="244" t="s">
        <v>411</v>
      </c>
      <c r="D52" s="32" t="s">
        <v>412</v>
      </c>
    </row>
    <row r="53" spans="1:7" x14ac:dyDescent="0.3">
      <c r="A53" s="1" t="s">
        <v>349</v>
      </c>
      <c r="B53" s="67">
        <f>C50*1.3</f>
        <v>2.34</v>
      </c>
      <c r="C53" s="245">
        <v>3.8</v>
      </c>
      <c r="D53" s="37">
        <v>3.2</v>
      </c>
    </row>
    <row r="54" spans="1:7" x14ac:dyDescent="0.3">
      <c r="A54" s="1" t="s">
        <v>350</v>
      </c>
      <c r="B54" s="37">
        <f>B33</f>
        <v>36800</v>
      </c>
      <c r="C54" s="245">
        <f>(B53*12000)+(1*12000)+6000</f>
        <v>46080</v>
      </c>
      <c r="D54" s="37">
        <f>(B53*4000)+(0.2*4000)+1000</f>
        <v>11160</v>
      </c>
    </row>
    <row r="55" spans="1:7" x14ac:dyDescent="0.3">
      <c r="A55" s="1" t="s">
        <v>355</v>
      </c>
      <c r="B55" s="37">
        <f>B53*16000</f>
        <v>37440</v>
      </c>
      <c r="C55" s="245">
        <f>C53*12000</f>
        <v>45600</v>
      </c>
      <c r="D55" s="37">
        <f>4000*D53</f>
        <v>12800</v>
      </c>
    </row>
    <row r="56" spans="1:7" x14ac:dyDescent="0.3">
      <c r="A56" s="1" t="s">
        <v>352</v>
      </c>
      <c r="B56" s="116">
        <f>B55-B54</f>
        <v>640</v>
      </c>
      <c r="C56" s="251">
        <f>C55-C54</f>
        <v>-480</v>
      </c>
      <c r="D56" s="116">
        <f t="shared" ref="D56" si="1">D55-D54</f>
        <v>1640</v>
      </c>
      <c r="E56" s="246">
        <f>SUM(B56:D56)</f>
        <v>1800</v>
      </c>
    </row>
    <row r="57" spans="1:7" x14ac:dyDescent="0.3">
      <c r="A57" s="287"/>
      <c r="B57" s="288"/>
      <c r="C57" s="288"/>
      <c r="D57" s="288"/>
      <c r="E57" s="290"/>
    </row>
    <row r="58" spans="1:7" x14ac:dyDescent="0.3">
      <c r="A58" s="287"/>
      <c r="B58" s="288"/>
      <c r="C58" s="288"/>
      <c r="D58" s="288"/>
      <c r="E58" s="290"/>
    </row>
    <row r="59" spans="1:7" x14ac:dyDescent="0.3">
      <c r="A59" s="287"/>
      <c r="B59" s="288"/>
      <c r="C59" s="288"/>
      <c r="D59" s="288"/>
      <c r="E59" s="290"/>
    </row>
    <row r="60" spans="1:7" x14ac:dyDescent="0.3">
      <c r="A60" s="287"/>
      <c r="B60" s="288"/>
      <c r="C60" s="288"/>
      <c r="D60" s="288"/>
      <c r="E60" s="290"/>
    </row>
    <row r="61" spans="1:7" x14ac:dyDescent="0.3">
      <c r="A61" s="287"/>
      <c r="B61" s="288"/>
      <c r="C61" s="288"/>
      <c r="D61" s="288"/>
      <c r="E61" s="290"/>
    </row>
    <row r="64" spans="1:7" x14ac:dyDescent="0.3">
      <c r="A64" t="s">
        <v>413</v>
      </c>
    </row>
    <row r="68" spans="1:8" x14ac:dyDescent="0.3">
      <c r="A68" s="1" t="s">
        <v>190</v>
      </c>
      <c r="B68" s="1">
        <v>16000</v>
      </c>
      <c r="C68" s="37">
        <f>C50-0.25</f>
        <v>1.5499999999999998</v>
      </c>
      <c r="D68" s="37">
        <f>B68*C68</f>
        <v>24799.999999999996</v>
      </c>
    </row>
    <row r="69" spans="1:8" x14ac:dyDescent="0.3">
      <c r="A69" s="1" t="s">
        <v>356</v>
      </c>
      <c r="B69" s="1"/>
      <c r="C69" s="37"/>
      <c r="D69" s="37">
        <f>8000+4000</f>
        <v>12000</v>
      </c>
    </row>
    <row r="70" spans="1:8" x14ac:dyDescent="0.3">
      <c r="A70" s="1" t="s">
        <v>324</v>
      </c>
      <c r="B70" s="1">
        <f>B68</f>
        <v>16000</v>
      </c>
      <c r="C70" s="67">
        <f>D70/B70</f>
        <v>2.2999999999999998</v>
      </c>
      <c r="D70" s="37">
        <f>D68+D69</f>
        <v>36800</v>
      </c>
    </row>
    <row r="72" spans="1:8" x14ac:dyDescent="0.3">
      <c r="G72" s="228" t="s">
        <v>357</v>
      </c>
      <c r="H72" s="228">
        <f>1.8-0.25</f>
        <v>1.55</v>
      </c>
    </row>
    <row r="73" spans="1:8" x14ac:dyDescent="0.3">
      <c r="A73" s="1"/>
      <c r="B73" s="32" t="s">
        <v>281</v>
      </c>
      <c r="C73" s="32" t="s">
        <v>411</v>
      </c>
      <c r="D73" s="32" t="s">
        <v>347</v>
      </c>
      <c r="G73" s="252" t="s">
        <v>358</v>
      </c>
      <c r="H73" s="252">
        <f>H72*1.3</f>
        <v>2.0150000000000001</v>
      </c>
    </row>
    <row r="74" spans="1:8" x14ac:dyDescent="0.3">
      <c r="A74" s="1" t="s">
        <v>349</v>
      </c>
      <c r="B74" s="253">
        <f>C68*1.3</f>
        <v>2.0149999999999997</v>
      </c>
      <c r="C74" s="37">
        <v>3.8</v>
      </c>
      <c r="D74" s="37">
        <v>3.2</v>
      </c>
    </row>
    <row r="75" spans="1:8" x14ac:dyDescent="0.3">
      <c r="A75" s="1" t="s">
        <v>350</v>
      </c>
      <c r="B75" s="37">
        <f>D70</f>
        <v>36800</v>
      </c>
      <c r="C75" s="37">
        <f>B74*12000+(6000+1*12000)</f>
        <v>42180</v>
      </c>
      <c r="D75" s="37">
        <f>B74*4000+1000+(0.2*4000)</f>
        <v>9860</v>
      </c>
    </row>
    <row r="76" spans="1:8" x14ac:dyDescent="0.3">
      <c r="A76" s="1" t="s">
        <v>351</v>
      </c>
      <c r="B76" s="37">
        <f>B74*16000</f>
        <v>32239.999999999996</v>
      </c>
      <c r="C76" s="37">
        <f>C74*12000</f>
        <v>45600</v>
      </c>
      <c r="D76" s="37">
        <f>D74*4000</f>
        <v>12800</v>
      </c>
    </row>
    <row r="77" spans="1:8" x14ac:dyDescent="0.3">
      <c r="A77" s="1" t="s">
        <v>352</v>
      </c>
      <c r="B77" s="116">
        <f>B76-B75</f>
        <v>-4560.0000000000036</v>
      </c>
      <c r="C77" s="116">
        <f>C76-C75</f>
        <v>3420</v>
      </c>
      <c r="D77" s="116">
        <f t="shared" ref="D77" si="2">D76-D75</f>
        <v>2940</v>
      </c>
      <c r="E77" s="135">
        <f>SUM(B77:D77)</f>
        <v>1799.9999999999964</v>
      </c>
    </row>
  </sheetData>
  <mergeCells count="2">
    <mergeCell ref="A1:H1"/>
    <mergeCell ref="G13:H15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A3A2-E8F5-4661-89FE-3B64DFFDF865}">
  <dimension ref="A1:H66"/>
  <sheetViews>
    <sheetView showGridLines="0" zoomScale="150" zoomScaleNormal="150" workbookViewId="0">
      <selection activeCell="E17" sqref="E17"/>
    </sheetView>
  </sheetViews>
  <sheetFormatPr baseColWidth="10" defaultRowHeight="14.4" x14ac:dyDescent="0.3"/>
  <cols>
    <col min="1" max="1" width="27.44140625" bestFit="1" customWidth="1"/>
    <col min="4" max="4" width="19.44140625" customWidth="1"/>
  </cols>
  <sheetData>
    <row r="1" spans="1:8" x14ac:dyDescent="0.3">
      <c r="A1" s="329" t="s">
        <v>478</v>
      </c>
      <c r="B1" s="329"/>
      <c r="C1" s="329"/>
      <c r="D1" s="329"/>
      <c r="E1" s="329"/>
      <c r="F1" s="329"/>
      <c r="G1" s="329"/>
      <c r="H1" s="329"/>
    </row>
    <row r="2" spans="1:8" x14ac:dyDescent="0.3">
      <c r="A2" t="s">
        <v>367</v>
      </c>
    </row>
    <row r="3" spans="1:8" ht="15" thickBot="1" x14ac:dyDescent="0.35"/>
    <row r="4" spans="1:8" ht="15" thickBot="1" x14ac:dyDescent="0.35">
      <c r="A4" s="230" t="s">
        <v>360</v>
      </c>
      <c r="B4" s="229" t="s">
        <v>2</v>
      </c>
      <c r="C4" s="229" t="s">
        <v>1</v>
      </c>
      <c r="D4" s="229" t="s">
        <v>0</v>
      </c>
    </row>
    <row r="5" spans="1:8" ht="15" thickBot="1" x14ac:dyDescent="0.35">
      <c r="A5" s="306" t="s">
        <v>361</v>
      </c>
      <c r="B5" s="307">
        <v>900</v>
      </c>
      <c r="C5" s="308">
        <v>600</v>
      </c>
      <c r="D5" s="308">
        <v>540000</v>
      </c>
    </row>
    <row r="6" spans="1:8" ht="15" thickBot="1" x14ac:dyDescent="0.35">
      <c r="A6" s="306" t="s">
        <v>362</v>
      </c>
      <c r="B6" s="307">
        <v>900</v>
      </c>
      <c r="C6" s="308">
        <v>260</v>
      </c>
      <c r="D6" s="308">
        <v>234000</v>
      </c>
    </row>
    <row r="7" spans="1:8" ht="15" thickBot="1" x14ac:dyDescent="0.35">
      <c r="A7" s="306" t="s">
        <v>363</v>
      </c>
      <c r="B7" s="309"/>
      <c r="C7" s="309"/>
      <c r="D7" s="308">
        <v>144000</v>
      </c>
    </row>
    <row r="8" spans="1:8" ht="15" thickBot="1" x14ac:dyDescent="0.35">
      <c r="A8" s="349" t="s">
        <v>364</v>
      </c>
      <c r="B8" s="350"/>
      <c r="C8" s="352"/>
      <c r="D8" s="308">
        <v>162000</v>
      </c>
    </row>
    <row r="9" spans="1:8" ht="15" thickBot="1" x14ac:dyDescent="0.35">
      <c r="A9" s="349" t="s">
        <v>365</v>
      </c>
      <c r="B9" s="350"/>
      <c r="C9" s="352"/>
      <c r="D9" s="308">
        <v>20000</v>
      </c>
    </row>
    <row r="10" spans="1:8" ht="15" thickBot="1" x14ac:dyDescent="0.35">
      <c r="A10" s="353" t="s">
        <v>366</v>
      </c>
      <c r="B10" s="354"/>
      <c r="C10" s="355"/>
      <c r="D10" s="308">
        <v>182000</v>
      </c>
    </row>
    <row r="12" spans="1:8" x14ac:dyDescent="0.3">
      <c r="A12" t="s">
        <v>377</v>
      </c>
    </row>
    <row r="13" spans="1:8" ht="15" thickBot="1" x14ac:dyDescent="0.35"/>
    <row r="14" spans="1:8" ht="15" thickBot="1" x14ac:dyDescent="0.35">
      <c r="A14" s="230" t="s">
        <v>369</v>
      </c>
      <c r="B14" s="229" t="s">
        <v>2</v>
      </c>
      <c r="C14" s="229" t="s">
        <v>1</v>
      </c>
      <c r="D14" s="229" t="s">
        <v>0</v>
      </c>
    </row>
    <row r="15" spans="1:8" ht="15" thickBot="1" x14ac:dyDescent="0.35">
      <c r="A15" s="214" t="s">
        <v>361</v>
      </c>
      <c r="B15" s="215">
        <v>1200</v>
      </c>
      <c r="C15" s="254">
        <v>600</v>
      </c>
      <c r="D15" s="254">
        <v>720000</v>
      </c>
    </row>
    <row r="16" spans="1:8" ht="15" thickBot="1" x14ac:dyDescent="0.35">
      <c r="A16" s="214" t="s">
        <v>362</v>
      </c>
      <c r="B16" s="215">
        <v>1200</v>
      </c>
      <c r="C16" s="254">
        <v>260</v>
      </c>
      <c r="D16" s="254">
        <v>312000</v>
      </c>
    </row>
    <row r="17" spans="1:4" ht="15" thickBot="1" x14ac:dyDescent="0.35">
      <c r="A17" s="214" t="s">
        <v>363</v>
      </c>
      <c r="B17" s="216"/>
      <c r="C17" s="216"/>
      <c r="D17" s="254">
        <v>144000</v>
      </c>
    </row>
    <row r="18" spans="1:4" ht="15" thickBot="1" x14ac:dyDescent="0.35">
      <c r="A18" s="349" t="s">
        <v>364</v>
      </c>
      <c r="B18" s="350"/>
      <c r="C18" s="352"/>
      <c r="D18" s="254">
        <v>264000</v>
      </c>
    </row>
    <row r="20" spans="1:4" ht="15" thickBot="1" x14ac:dyDescent="0.35"/>
    <row r="21" spans="1:4" ht="15" thickBot="1" x14ac:dyDescent="0.35">
      <c r="A21" s="230" t="s">
        <v>370</v>
      </c>
      <c r="B21" s="229" t="s">
        <v>2</v>
      </c>
      <c r="C21" s="229" t="s">
        <v>1</v>
      </c>
      <c r="D21" s="229" t="s">
        <v>0</v>
      </c>
    </row>
    <row r="22" spans="1:4" ht="15" thickBot="1" x14ac:dyDescent="0.35">
      <c r="A22" s="214" t="s">
        <v>371</v>
      </c>
      <c r="B22" s="215">
        <v>300</v>
      </c>
      <c r="C22" s="254">
        <v>1000</v>
      </c>
      <c r="D22" s="254">
        <v>300000</v>
      </c>
    </row>
    <row r="23" spans="1:4" ht="15" thickBot="1" x14ac:dyDescent="0.35">
      <c r="A23" s="214" t="s">
        <v>372</v>
      </c>
      <c r="B23" s="215">
        <v>300</v>
      </c>
      <c r="C23" s="254">
        <v>900</v>
      </c>
      <c r="D23" s="254">
        <v>270000</v>
      </c>
    </row>
    <row r="24" spans="1:4" ht="15" thickBot="1" x14ac:dyDescent="0.35">
      <c r="A24" s="214" t="s">
        <v>373</v>
      </c>
      <c r="B24" s="216"/>
      <c r="C24" s="216"/>
      <c r="D24" s="254">
        <v>60000</v>
      </c>
    </row>
    <row r="25" spans="1:4" ht="15" thickBot="1" x14ac:dyDescent="0.35">
      <c r="A25" s="349" t="s">
        <v>374</v>
      </c>
      <c r="B25" s="350"/>
      <c r="C25" s="352"/>
      <c r="D25" s="254">
        <v>-30000</v>
      </c>
    </row>
    <row r="26" spans="1:4" ht="15" thickBot="1" x14ac:dyDescent="0.35">
      <c r="A26" s="349" t="s">
        <v>375</v>
      </c>
      <c r="B26" s="350"/>
      <c r="C26" s="352"/>
      <c r="D26" s="254">
        <v>20000</v>
      </c>
    </row>
    <row r="27" spans="1:4" ht="15" thickBot="1" x14ac:dyDescent="0.35">
      <c r="A27" s="349" t="s">
        <v>376</v>
      </c>
      <c r="B27" s="350"/>
      <c r="C27" s="352"/>
      <c r="D27" s="254">
        <v>-10000</v>
      </c>
    </row>
    <row r="29" spans="1:4" x14ac:dyDescent="0.3">
      <c r="A29" s="255" t="s">
        <v>378</v>
      </c>
    </row>
    <row r="38" spans="1:1" x14ac:dyDescent="0.3">
      <c r="A38" t="s">
        <v>458</v>
      </c>
    </row>
    <row r="40" spans="1:1" x14ac:dyDescent="0.3">
      <c r="A40" s="255" t="s">
        <v>379</v>
      </c>
    </row>
    <row r="43" spans="1:1" x14ac:dyDescent="0.3">
      <c r="A43" t="s">
        <v>380</v>
      </c>
    </row>
    <row r="54" spans="1:4" x14ac:dyDescent="0.3">
      <c r="A54" t="s">
        <v>41</v>
      </c>
    </row>
    <row r="55" spans="1:4" ht="15" thickBot="1" x14ac:dyDescent="0.35"/>
    <row r="56" spans="1:4" ht="15" thickBot="1" x14ac:dyDescent="0.35">
      <c r="A56" s="213"/>
      <c r="B56" s="229" t="s">
        <v>2</v>
      </c>
      <c r="C56" s="229" t="s">
        <v>1</v>
      </c>
      <c r="D56" s="229" t="s">
        <v>0</v>
      </c>
    </row>
    <row r="57" spans="1:4" ht="15" thickBot="1" x14ac:dyDescent="0.35">
      <c r="A57" s="214" t="s">
        <v>361</v>
      </c>
      <c r="B57" s="215">
        <v>1060</v>
      </c>
      <c r="C57" s="254">
        <v>595</v>
      </c>
      <c r="D57" s="254">
        <v>630700</v>
      </c>
    </row>
    <row r="58" spans="1:4" ht="15" thickBot="1" x14ac:dyDescent="0.35">
      <c r="A58" s="214" t="s">
        <v>362</v>
      </c>
      <c r="B58" s="215">
        <v>1060</v>
      </c>
      <c r="C58" s="254">
        <v>260</v>
      </c>
      <c r="D58" s="254">
        <v>275600</v>
      </c>
    </row>
    <row r="59" spans="1:4" ht="15" thickBot="1" x14ac:dyDescent="0.35">
      <c r="A59" s="214" t="s">
        <v>363</v>
      </c>
      <c r="B59" s="216"/>
      <c r="C59" s="216"/>
      <c r="D59" s="254">
        <v>144000</v>
      </c>
    </row>
    <row r="60" spans="1:4" ht="15" thickBot="1" x14ac:dyDescent="0.35">
      <c r="A60" s="349" t="s">
        <v>364</v>
      </c>
      <c r="B60" s="350"/>
      <c r="C60" s="352"/>
      <c r="D60" s="254">
        <v>211100</v>
      </c>
    </row>
    <row r="61" spans="1:4" ht="15" thickBot="1" x14ac:dyDescent="0.35">
      <c r="A61" s="349" t="s">
        <v>365</v>
      </c>
      <c r="B61" s="350"/>
      <c r="C61" s="352"/>
      <c r="D61" s="254">
        <v>20000</v>
      </c>
    </row>
    <row r="62" spans="1:4" ht="15" thickBot="1" x14ac:dyDescent="0.35">
      <c r="A62" s="353" t="s">
        <v>366</v>
      </c>
      <c r="B62" s="354"/>
      <c r="C62" s="355"/>
      <c r="D62" s="254">
        <v>231100</v>
      </c>
    </row>
    <row r="64" spans="1:4" x14ac:dyDescent="0.3">
      <c r="A64" t="s">
        <v>381</v>
      </c>
    </row>
    <row r="66" spans="1:1" x14ac:dyDescent="0.3">
      <c r="A66" t="s">
        <v>179</v>
      </c>
    </row>
  </sheetData>
  <mergeCells count="11">
    <mergeCell ref="A26:C26"/>
    <mergeCell ref="A27:C27"/>
    <mergeCell ref="A60:C60"/>
    <mergeCell ref="A61:C61"/>
    <mergeCell ref="A62:C62"/>
    <mergeCell ref="A25:C25"/>
    <mergeCell ref="A8:C8"/>
    <mergeCell ref="A9:C9"/>
    <mergeCell ref="A10:C10"/>
    <mergeCell ref="A1:H1"/>
    <mergeCell ref="A18:C1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3995-EAD0-4690-9449-C3578FE6DC0F}">
  <dimension ref="A1:H80"/>
  <sheetViews>
    <sheetView showGridLines="0" tabSelected="1" zoomScale="150" zoomScaleNormal="150" workbookViewId="0">
      <selection activeCell="H8" sqref="H8"/>
    </sheetView>
  </sheetViews>
  <sheetFormatPr baseColWidth="10" defaultRowHeight="14.4" x14ac:dyDescent="0.3"/>
  <cols>
    <col min="1" max="1" width="25.5546875" bestFit="1" customWidth="1"/>
    <col min="4" max="4" width="15.44140625" bestFit="1" customWidth="1"/>
    <col min="5" max="5" width="20.88671875" customWidth="1"/>
    <col min="7" max="7" width="14.6640625" bestFit="1" customWidth="1"/>
  </cols>
  <sheetData>
    <row r="1" spans="1:8" x14ac:dyDescent="0.3">
      <c r="A1" s="329" t="s">
        <v>479</v>
      </c>
      <c r="B1" s="329"/>
      <c r="C1" s="329"/>
      <c r="D1" s="329"/>
      <c r="E1" s="329"/>
      <c r="F1" s="329"/>
      <c r="G1" s="329"/>
      <c r="H1" s="329"/>
    </row>
    <row r="4" spans="1:8" x14ac:dyDescent="0.3">
      <c r="A4" t="s">
        <v>191</v>
      </c>
      <c r="C4" t="s">
        <v>382</v>
      </c>
    </row>
    <row r="6" spans="1:8" x14ac:dyDescent="0.3">
      <c r="A6" s="1"/>
      <c r="B6" s="356" t="s">
        <v>383</v>
      </c>
      <c r="C6" s="356"/>
      <c r="D6" s="356"/>
      <c r="E6" s="357" t="s">
        <v>384</v>
      </c>
      <c r="F6" s="357"/>
      <c r="G6" s="357"/>
    </row>
    <row r="7" spans="1:8" x14ac:dyDescent="0.3">
      <c r="A7" s="1"/>
      <c r="B7" s="11" t="s">
        <v>2</v>
      </c>
      <c r="C7" s="11" t="s">
        <v>1</v>
      </c>
      <c r="D7" s="11" t="s">
        <v>0</v>
      </c>
      <c r="E7" s="256" t="s">
        <v>2</v>
      </c>
      <c r="F7" s="256" t="s">
        <v>1</v>
      </c>
      <c r="G7" s="256" t="s">
        <v>0</v>
      </c>
    </row>
    <row r="8" spans="1:8" x14ac:dyDescent="0.3">
      <c r="A8" s="1" t="s">
        <v>385</v>
      </c>
      <c r="B8" s="29">
        <v>1800</v>
      </c>
      <c r="C8" s="257">
        <v>1200</v>
      </c>
      <c r="D8" s="257">
        <f>B8*C8</f>
        <v>2160000</v>
      </c>
      <c r="E8" s="258">
        <v>1800</v>
      </c>
      <c r="F8" s="259">
        <v>1200</v>
      </c>
      <c r="G8" s="259">
        <f>E8*F8</f>
        <v>2160000</v>
      </c>
    </row>
    <row r="9" spans="1:8" x14ac:dyDescent="0.3">
      <c r="A9" s="1" t="s">
        <v>386</v>
      </c>
      <c r="B9" s="29"/>
      <c r="C9" s="257"/>
      <c r="D9" s="257"/>
      <c r="E9" s="258">
        <v>600</v>
      </c>
      <c r="F9" s="259">
        <v>2000</v>
      </c>
      <c r="G9" s="259">
        <f>E9*F9</f>
        <v>1200000</v>
      </c>
    </row>
    <row r="10" spans="1:8" x14ac:dyDescent="0.3">
      <c r="A10" s="3" t="s">
        <v>387</v>
      </c>
      <c r="B10" s="21"/>
      <c r="C10" s="260"/>
      <c r="D10" s="260">
        <f>D8</f>
        <v>2160000</v>
      </c>
      <c r="E10" s="261"/>
      <c r="F10" s="262"/>
      <c r="G10" s="262">
        <f>G8+G9</f>
        <v>3360000</v>
      </c>
    </row>
    <row r="11" spans="1:8" x14ac:dyDescent="0.3">
      <c r="A11" s="1" t="s">
        <v>388</v>
      </c>
      <c r="B11" s="29">
        <v>1800</v>
      </c>
      <c r="C11" s="257">
        <v>520</v>
      </c>
      <c r="D11" s="257">
        <f>B11*C11</f>
        <v>936000</v>
      </c>
      <c r="E11" s="258">
        <v>2400</v>
      </c>
      <c r="F11" s="259">
        <f>C11</f>
        <v>520</v>
      </c>
      <c r="G11" s="259">
        <f>E11*F11</f>
        <v>1248000</v>
      </c>
    </row>
    <row r="12" spans="1:8" x14ac:dyDescent="0.3">
      <c r="A12" s="1" t="s">
        <v>389</v>
      </c>
      <c r="B12" s="29"/>
      <c r="C12" s="257"/>
      <c r="D12" s="257">
        <f>2400*240</f>
        <v>576000</v>
      </c>
      <c r="E12" s="258"/>
      <c r="F12" s="259"/>
      <c r="G12" s="259">
        <f>D12</f>
        <v>576000</v>
      </c>
    </row>
    <row r="13" spans="1:8" x14ac:dyDescent="0.3">
      <c r="A13" s="1" t="s">
        <v>390</v>
      </c>
      <c r="B13" s="29"/>
      <c r="C13" s="257"/>
      <c r="D13" s="257"/>
      <c r="E13" s="258"/>
      <c r="F13" s="259"/>
      <c r="G13" s="259">
        <f>400000+(600*600)</f>
        <v>760000</v>
      </c>
    </row>
    <row r="14" spans="1:8" x14ac:dyDescent="0.3">
      <c r="A14" s="3" t="s">
        <v>391</v>
      </c>
      <c r="B14" s="21"/>
      <c r="C14" s="260"/>
      <c r="D14" s="260">
        <f>D11+D12</f>
        <v>1512000</v>
      </c>
      <c r="E14" s="261"/>
      <c r="F14" s="262"/>
      <c r="G14" s="262">
        <f>SUM(G11:G13)</f>
        <v>2584000</v>
      </c>
    </row>
    <row r="15" spans="1:8" x14ac:dyDescent="0.3">
      <c r="A15" s="3" t="s">
        <v>392</v>
      </c>
      <c r="B15" s="21"/>
      <c r="C15" s="260"/>
      <c r="D15" s="260">
        <f>D10-D14</f>
        <v>648000</v>
      </c>
      <c r="E15" s="261"/>
      <c r="F15" s="262"/>
      <c r="G15" s="262">
        <f>G10-G14</f>
        <v>776000</v>
      </c>
    </row>
    <row r="17" spans="1:8" x14ac:dyDescent="0.3">
      <c r="B17" s="318" t="s">
        <v>414</v>
      </c>
      <c r="C17" s="318"/>
      <c r="D17" s="318"/>
      <c r="F17" s="317" t="s">
        <v>415</v>
      </c>
      <c r="G17" s="317"/>
      <c r="H17" s="317"/>
    </row>
    <row r="18" spans="1:8" x14ac:dyDescent="0.3">
      <c r="B18" s="286" t="s">
        <v>2</v>
      </c>
      <c r="C18" s="286" t="s">
        <v>1</v>
      </c>
      <c r="D18" s="286" t="s">
        <v>0</v>
      </c>
      <c r="F18" s="286" t="s">
        <v>2</v>
      </c>
      <c r="G18" s="286" t="s">
        <v>1</v>
      </c>
      <c r="H18" s="286" t="s">
        <v>0</v>
      </c>
    </row>
    <row r="19" spans="1:8" x14ac:dyDescent="0.3">
      <c r="A19" t="s">
        <v>171</v>
      </c>
      <c r="B19" s="1">
        <v>2400</v>
      </c>
      <c r="C19" s="1">
        <v>1200</v>
      </c>
      <c r="D19" s="293">
        <f>B19*C19</f>
        <v>2880000</v>
      </c>
      <c r="E19" s="294" t="s">
        <v>171</v>
      </c>
      <c r="F19" s="1">
        <v>600</v>
      </c>
      <c r="G19" s="1">
        <v>2000</v>
      </c>
      <c r="H19" s="1">
        <f>F19*G19</f>
        <v>1200000</v>
      </c>
    </row>
    <row r="20" spans="1:8" x14ac:dyDescent="0.3">
      <c r="A20" t="s">
        <v>85</v>
      </c>
      <c r="B20" s="1">
        <v>2400</v>
      </c>
      <c r="C20" s="1">
        <v>520</v>
      </c>
      <c r="D20" s="293">
        <f>B20*C20</f>
        <v>1248000</v>
      </c>
      <c r="E20" s="294" t="s">
        <v>416</v>
      </c>
      <c r="F20" s="1">
        <v>600</v>
      </c>
      <c r="G20" s="1">
        <v>1200</v>
      </c>
      <c r="H20" s="1">
        <f>F20*G20</f>
        <v>720000</v>
      </c>
    </row>
    <row r="21" spans="1:8" x14ac:dyDescent="0.3">
      <c r="A21" t="s">
        <v>37</v>
      </c>
      <c r="B21" s="1"/>
      <c r="C21" s="1"/>
      <c r="D21" s="293">
        <v>576000</v>
      </c>
      <c r="E21" s="294" t="s">
        <v>417</v>
      </c>
      <c r="F21" s="1">
        <v>600</v>
      </c>
      <c r="G21" s="1">
        <v>600</v>
      </c>
      <c r="H21" s="1">
        <f>F21*G21</f>
        <v>360000</v>
      </c>
    </row>
    <row r="22" spans="1:8" x14ac:dyDescent="0.3">
      <c r="A22" t="s">
        <v>338</v>
      </c>
      <c r="B22" s="1"/>
      <c r="C22" s="1"/>
      <c r="D22" s="293">
        <f>D19-D20-D21</f>
        <v>1056000</v>
      </c>
      <c r="E22" s="294" t="s">
        <v>37</v>
      </c>
      <c r="F22" s="1"/>
      <c r="G22" s="1"/>
      <c r="H22" s="1">
        <v>400000</v>
      </c>
    </row>
    <row r="23" spans="1:8" x14ac:dyDescent="0.3">
      <c r="E23" s="294" t="s">
        <v>352</v>
      </c>
      <c r="F23" s="1"/>
      <c r="G23" s="1"/>
      <c r="H23" s="1">
        <f>H19-H20-H21-H22</f>
        <v>-280000</v>
      </c>
    </row>
    <row r="28" spans="1:8" x14ac:dyDescent="0.3">
      <c r="E28" s="79">
        <f>D22+H23</f>
        <v>776000</v>
      </c>
    </row>
    <row r="32" spans="1:8" x14ac:dyDescent="0.3">
      <c r="A32" t="s">
        <v>148</v>
      </c>
    </row>
    <row r="42" spans="1:4" x14ac:dyDescent="0.3">
      <c r="A42" t="s">
        <v>41</v>
      </c>
    </row>
    <row r="43" spans="1:4" x14ac:dyDescent="0.3">
      <c r="A43" s="320" t="s">
        <v>393</v>
      </c>
      <c r="B43" s="321"/>
      <c r="C43" s="321"/>
      <c r="D43" s="322"/>
    </row>
    <row r="44" spans="1:4" x14ac:dyDescent="0.3">
      <c r="A44" s="1"/>
      <c r="B44" s="32" t="s">
        <v>2</v>
      </c>
      <c r="C44" s="32" t="s">
        <v>1</v>
      </c>
      <c r="D44" s="32" t="s">
        <v>0</v>
      </c>
    </row>
    <row r="45" spans="1:4" x14ac:dyDescent="0.3">
      <c r="A45" s="1" t="s">
        <v>385</v>
      </c>
      <c r="B45" s="1">
        <v>2400</v>
      </c>
      <c r="C45" s="1">
        <v>1050</v>
      </c>
      <c r="D45" s="1">
        <f>B45*C45</f>
        <v>2520000</v>
      </c>
    </row>
    <row r="46" spans="1:4" x14ac:dyDescent="0.3">
      <c r="A46" s="3" t="s">
        <v>387</v>
      </c>
      <c r="B46" s="3"/>
      <c r="C46" s="3"/>
      <c r="D46" s="3">
        <f>D45</f>
        <v>2520000</v>
      </c>
    </row>
    <row r="47" spans="1:4" x14ac:dyDescent="0.3">
      <c r="A47" s="1" t="s">
        <v>388</v>
      </c>
      <c r="B47" s="1">
        <v>2400</v>
      </c>
      <c r="C47" s="1">
        <v>520</v>
      </c>
      <c r="D47" s="1">
        <f>B47*C47</f>
        <v>1248000</v>
      </c>
    </row>
    <row r="48" spans="1:4" x14ac:dyDescent="0.3">
      <c r="A48" s="1" t="s">
        <v>389</v>
      </c>
      <c r="B48" s="1"/>
      <c r="C48" s="1"/>
      <c r="D48" s="1">
        <f>2400*240</f>
        <v>576000</v>
      </c>
    </row>
    <row r="49" spans="1:4" x14ac:dyDescent="0.3">
      <c r="A49" s="3" t="s">
        <v>391</v>
      </c>
      <c r="B49" s="3"/>
      <c r="C49" s="3"/>
      <c r="D49" s="3">
        <f>D47+D48</f>
        <v>1824000</v>
      </c>
    </row>
    <row r="50" spans="1:4" x14ac:dyDescent="0.3">
      <c r="A50" s="3" t="s">
        <v>392</v>
      </c>
      <c r="B50" s="3"/>
      <c r="C50" s="3"/>
      <c r="D50" s="3">
        <f>D46-D49</f>
        <v>696000</v>
      </c>
    </row>
    <row r="52" spans="1:4" x14ac:dyDescent="0.3">
      <c r="A52" t="s">
        <v>179</v>
      </c>
    </row>
    <row r="70" spans="1:8" x14ac:dyDescent="0.3">
      <c r="A70" s="1" t="s">
        <v>394</v>
      </c>
      <c r="B70" s="317" t="s">
        <v>395</v>
      </c>
      <c r="C70" s="317"/>
      <c r="D70" s="317"/>
      <c r="E70" s="317" t="s">
        <v>396</v>
      </c>
      <c r="F70" s="317"/>
      <c r="G70" s="317"/>
    </row>
    <row r="71" spans="1:8" x14ac:dyDescent="0.3">
      <c r="A71" s="1"/>
      <c r="B71" s="32" t="s">
        <v>2</v>
      </c>
      <c r="C71" s="32" t="s">
        <v>1</v>
      </c>
      <c r="D71" s="32" t="s">
        <v>0</v>
      </c>
      <c r="E71" s="32" t="s">
        <v>2</v>
      </c>
      <c r="F71" s="32" t="s">
        <v>1</v>
      </c>
      <c r="G71" s="32" t="s">
        <v>0</v>
      </c>
    </row>
    <row r="72" spans="1:8" x14ac:dyDescent="0.3">
      <c r="A72" s="1" t="s">
        <v>385</v>
      </c>
      <c r="B72" s="1">
        <v>1800</v>
      </c>
      <c r="C72" s="1">
        <v>1200</v>
      </c>
      <c r="D72" s="1">
        <f>B72*C72</f>
        <v>2160000</v>
      </c>
      <c r="E72" s="1"/>
      <c r="F72" s="1"/>
      <c r="G72" s="1"/>
    </row>
    <row r="73" spans="1:8" x14ac:dyDescent="0.3">
      <c r="A73" s="1" t="s">
        <v>397</v>
      </c>
      <c r="B73" s="1">
        <v>600</v>
      </c>
      <c r="C73" s="29">
        <v>600</v>
      </c>
      <c r="D73" s="1">
        <f>B73*C73</f>
        <v>360000</v>
      </c>
      <c r="E73" s="1">
        <v>600</v>
      </c>
      <c r="F73" s="1">
        <v>2000</v>
      </c>
      <c r="G73" s="1">
        <f>E73*F73</f>
        <v>1200000</v>
      </c>
    </row>
    <row r="74" spans="1:8" x14ac:dyDescent="0.3">
      <c r="A74" s="3" t="s">
        <v>387</v>
      </c>
      <c r="B74" s="3"/>
      <c r="C74" s="3"/>
      <c r="D74" s="3">
        <f>D72+D73</f>
        <v>2520000</v>
      </c>
      <c r="E74" s="3"/>
      <c r="F74" s="3"/>
      <c r="G74" s="3">
        <f>G72+G73</f>
        <v>1200000</v>
      </c>
    </row>
    <row r="75" spans="1:8" x14ac:dyDescent="0.3">
      <c r="A75" s="1" t="s">
        <v>388</v>
      </c>
      <c r="B75" s="1">
        <v>2400</v>
      </c>
      <c r="C75" s="1">
        <v>520</v>
      </c>
      <c r="D75" s="1">
        <f>B75*C75</f>
        <v>1248000</v>
      </c>
      <c r="E75" s="1"/>
      <c r="F75" s="1"/>
      <c r="G75" s="1"/>
    </row>
    <row r="76" spans="1:8" x14ac:dyDescent="0.3">
      <c r="A76" s="1" t="s">
        <v>389</v>
      </c>
      <c r="B76" s="1"/>
      <c r="C76" s="1"/>
      <c r="D76" s="1">
        <f>2400*240</f>
        <v>576000</v>
      </c>
      <c r="E76" s="1"/>
      <c r="F76" s="1"/>
      <c r="G76" s="1"/>
    </row>
    <row r="77" spans="1:8" x14ac:dyDescent="0.3">
      <c r="A77" s="1" t="s">
        <v>398</v>
      </c>
      <c r="B77" s="1"/>
      <c r="C77" s="1"/>
      <c r="D77" s="1"/>
      <c r="E77" s="1">
        <v>600</v>
      </c>
      <c r="F77" s="1">
        <v>600</v>
      </c>
      <c r="G77" s="1">
        <f>E77*F77</f>
        <v>360000</v>
      </c>
    </row>
    <row r="78" spans="1:8" x14ac:dyDescent="0.3">
      <c r="A78" s="1" t="s">
        <v>390</v>
      </c>
      <c r="B78" s="1"/>
      <c r="C78" s="1"/>
      <c r="D78" s="1"/>
      <c r="E78" s="1"/>
      <c r="F78" s="1"/>
      <c r="G78" s="1">
        <f>400000+(600*600)</f>
        <v>760000</v>
      </c>
    </row>
    <row r="79" spans="1:8" x14ac:dyDescent="0.3">
      <c r="A79" s="3" t="s">
        <v>391</v>
      </c>
      <c r="B79" s="3"/>
      <c r="C79" s="3"/>
      <c r="D79" s="3">
        <f>D75+D76</f>
        <v>1824000</v>
      </c>
      <c r="E79" s="3"/>
      <c r="F79" s="3"/>
      <c r="G79" s="3">
        <f>SUM(G75:G78)</f>
        <v>1120000</v>
      </c>
    </row>
    <row r="80" spans="1:8" x14ac:dyDescent="0.3">
      <c r="A80" s="3" t="s">
        <v>392</v>
      </c>
      <c r="B80" s="3"/>
      <c r="C80" s="3"/>
      <c r="D80" s="3">
        <f>D74-D79</f>
        <v>696000</v>
      </c>
      <c r="E80" s="3"/>
      <c r="F80" s="3"/>
      <c r="G80" s="3">
        <f>G74-G79</f>
        <v>80000</v>
      </c>
      <c r="H80" s="94">
        <f>D80+G80</f>
        <v>776000</v>
      </c>
    </row>
  </sheetData>
  <mergeCells count="8">
    <mergeCell ref="A1:H1"/>
    <mergeCell ref="B6:D6"/>
    <mergeCell ref="E6:G6"/>
    <mergeCell ref="A43:D43"/>
    <mergeCell ref="B70:D70"/>
    <mergeCell ref="E70:G70"/>
    <mergeCell ref="B17:D17"/>
    <mergeCell ref="F17:H17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2FA3-9461-4074-BDCF-7CE0E3686A17}">
  <dimension ref="A1:J16"/>
  <sheetViews>
    <sheetView showGridLines="0" workbookViewId="0">
      <selection activeCell="H19" sqref="H19"/>
    </sheetView>
  </sheetViews>
  <sheetFormatPr baseColWidth="10" defaultRowHeight="14.4" x14ac:dyDescent="0.3"/>
  <cols>
    <col min="1" max="1" width="34.6640625" customWidth="1"/>
    <col min="2" max="2" width="14.77734375" bestFit="1" customWidth="1"/>
    <col min="3" max="3" width="11.6640625" bestFit="1" customWidth="1"/>
    <col min="4" max="4" width="12.77734375" bestFit="1" customWidth="1"/>
  </cols>
  <sheetData>
    <row r="1" spans="1:10" ht="23.4" x14ac:dyDescent="0.45">
      <c r="A1" s="313" t="s">
        <v>49</v>
      </c>
      <c r="B1" s="313"/>
      <c r="C1" s="313"/>
      <c r="D1" s="313"/>
      <c r="E1" s="313"/>
      <c r="F1" s="313"/>
      <c r="G1" s="313"/>
      <c r="H1" s="313"/>
      <c r="I1" s="313"/>
      <c r="J1" s="313"/>
    </row>
    <row r="3" spans="1:10" x14ac:dyDescent="0.3">
      <c r="A3" t="s">
        <v>470</v>
      </c>
    </row>
    <row r="5" spans="1:10" x14ac:dyDescent="0.3">
      <c r="A5" s="370" t="s">
        <v>85</v>
      </c>
      <c r="B5" s="371">
        <f>200000+150000+50000</f>
        <v>400000</v>
      </c>
      <c r="C5" s="79"/>
    </row>
    <row r="6" spans="1:10" x14ac:dyDescent="0.3">
      <c r="A6" s="370" t="s">
        <v>37</v>
      </c>
      <c r="B6" s="371">
        <f>300000</f>
        <v>300000</v>
      </c>
    </row>
    <row r="7" spans="1:10" x14ac:dyDescent="0.3">
      <c r="A7" s="370" t="s">
        <v>471</v>
      </c>
      <c r="B7" s="371">
        <f>B5+B6</f>
        <v>700000</v>
      </c>
    </row>
    <row r="9" spans="1:10" x14ac:dyDescent="0.3">
      <c r="A9" s="363" t="s">
        <v>472</v>
      </c>
      <c r="B9" s="369">
        <f>B7/10000</f>
        <v>70</v>
      </c>
    </row>
    <row r="11" spans="1:10" x14ac:dyDescent="0.3">
      <c r="A11" s="364" t="s">
        <v>473</v>
      </c>
    </row>
    <row r="14" spans="1:10" x14ac:dyDescent="0.3">
      <c r="A14" s="365" t="s">
        <v>85</v>
      </c>
      <c r="B14" s="366">
        <v>11000</v>
      </c>
      <c r="C14" s="367">
        <v>40</v>
      </c>
      <c r="D14" s="367">
        <f>B14*C14</f>
        <v>440000</v>
      </c>
    </row>
    <row r="15" spans="1:10" x14ac:dyDescent="0.3">
      <c r="A15" s="365" t="s">
        <v>37</v>
      </c>
      <c r="B15" s="366"/>
      <c r="C15" s="365"/>
      <c r="D15" s="368">
        <f>B6</f>
        <v>300000</v>
      </c>
    </row>
    <row r="16" spans="1:10" x14ac:dyDescent="0.3">
      <c r="A16" s="365" t="s">
        <v>471</v>
      </c>
      <c r="B16" s="366">
        <f>B14</f>
        <v>11000</v>
      </c>
      <c r="C16" s="365"/>
      <c r="D16" s="368">
        <f>D14+D15</f>
        <v>740000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6C2D-9C06-4070-A27F-261300C7E748}">
  <dimension ref="A1:L37"/>
  <sheetViews>
    <sheetView showGridLines="0" zoomScale="140" zoomScaleNormal="140" workbookViewId="0">
      <selection activeCell="E8" sqref="E8"/>
    </sheetView>
  </sheetViews>
  <sheetFormatPr baseColWidth="10" defaultRowHeight="14.4" x14ac:dyDescent="0.3"/>
  <cols>
    <col min="1" max="1" width="34.88671875" customWidth="1"/>
    <col min="2" max="2" width="15.109375" bestFit="1" customWidth="1"/>
    <col min="3" max="3" width="16.44140625" customWidth="1"/>
    <col min="4" max="4" width="14.88671875" bestFit="1" customWidth="1"/>
    <col min="6" max="6" width="14" bestFit="1" customWidth="1"/>
    <col min="7" max="7" width="14.88671875" bestFit="1" customWidth="1"/>
    <col min="8" max="8" width="11.88671875" bestFit="1" customWidth="1"/>
    <col min="9" max="9" width="15.88671875" customWidth="1"/>
    <col min="10" max="10" width="13.44140625" bestFit="1" customWidth="1"/>
    <col min="12" max="12" width="13.33203125" customWidth="1"/>
    <col min="13" max="13" width="12.88671875" bestFit="1" customWidth="1"/>
  </cols>
  <sheetData>
    <row r="1" spans="1:10" ht="23.4" x14ac:dyDescent="0.45">
      <c r="A1" s="313" t="s">
        <v>75</v>
      </c>
      <c r="B1" s="313"/>
      <c r="C1" s="313"/>
      <c r="D1" s="313"/>
      <c r="E1" s="313"/>
      <c r="F1" s="313"/>
      <c r="G1" s="313"/>
      <c r="H1" s="313"/>
      <c r="I1" s="313"/>
      <c r="J1" s="313"/>
    </row>
    <row r="3" spans="1:10" x14ac:dyDescent="0.3">
      <c r="A3" s="36" t="s">
        <v>29</v>
      </c>
    </row>
    <row r="4" spans="1:10" x14ac:dyDescent="0.3">
      <c r="A4" s="1"/>
      <c r="B4" s="32" t="s">
        <v>2</v>
      </c>
      <c r="C4" s="32" t="s">
        <v>1</v>
      </c>
      <c r="D4" s="32" t="s">
        <v>0</v>
      </c>
    </row>
    <row r="5" spans="1:10" x14ac:dyDescent="0.3">
      <c r="A5" s="1" t="s">
        <v>30</v>
      </c>
      <c r="B5" s="1">
        <v>20</v>
      </c>
      <c r="C5" s="360">
        <v>0.67</v>
      </c>
      <c r="D5" s="37">
        <f>B5*C5</f>
        <v>13.4</v>
      </c>
    </row>
    <row r="6" spans="1:10" x14ac:dyDescent="0.3">
      <c r="A6" s="1" t="s">
        <v>31</v>
      </c>
      <c r="B6" s="1">
        <f>20250/9000</f>
        <v>2.25</v>
      </c>
      <c r="C6" s="38">
        <f>445500/20250</f>
        <v>22</v>
      </c>
      <c r="D6" s="37">
        <f t="shared" ref="D6:D7" si="0">B6*C6</f>
        <v>49.5</v>
      </c>
    </row>
    <row r="7" spans="1:10" x14ac:dyDescent="0.3">
      <c r="A7" s="1" t="s">
        <v>32</v>
      </c>
      <c r="B7" s="1">
        <f>13500/9000</f>
        <v>1.5</v>
      </c>
      <c r="C7" s="38">
        <f>1107000/13500</f>
        <v>82</v>
      </c>
      <c r="D7" s="37">
        <f t="shared" si="0"/>
        <v>123</v>
      </c>
      <c r="E7" s="263"/>
    </row>
    <row r="8" spans="1:10" ht="21" x14ac:dyDescent="0.4">
      <c r="A8" s="314" t="s">
        <v>33</v>
      </c>
      <c r="B8" s="314"/>
      <c r="C8" s="314"/>
      <c r="D8" s="39">
        <f>SUM(D5:D7)</f>
        <v>185.9</v>
      </c>
    </row>
    <row r="9" spans="1:10" ht="21" x14ac:dyDescent="0.4">
      <c r="A9" s="40"/>
      <c r="B9" s="40"/>
      <c r="C9" s="40"/>
      <c r="D9" s="41"/>
    </row>
    <row r="10" spans="1:10" ht="21" x14ac:dyDescent="0.4">
      <c r="A10" s="40"/>
      <c r="B10" s="40"/>
      <c r="C10" s="40"/>
      <c r="D10" s="41"/>
    </row>
    <row r="11" spans="1:10" ht="21" x14ac:dyDescent="0.4">
      <c r="A11" s="40"/>
      <c r="B11" s="40"/>
      <c r="C11" s="40"/>
      <c r="D11" s="41"/>
    </row>
    <row r="12" spans="1:10" x14ac:dyDescent="0.3">
      <c r="A12" s="36" t="s">
        <v>34</v>
      </c>
    </row>
    <row r="14" spans="1:10" ht="28.8" x14ac:dyDescent="0.3">
      <c r="A14" s="26" t="s">
        <v>35</v>
      </c>
      <c r="B14" s="310" t="s">
        <v>462</v>
      </c>
      <c r="C14" s="42" t="s">
        <v>36</v>
      </c>
    </row>
    <row r="15" spans="1:10" x14ac:dyDescent="0.3">
      <c r="A15" s="1" t="s">
        <v>400</v>
      </c>
      <c r="B15" s="2">
        <f>37.5*14200</f>
        <v>532500</v>
      </c>
      <c r="C15" s="30">
        <v>506250</v>
      </c>
      <c r="D15" t="s">
        <v>461</v>
      </c>
      <c r="F15" s="136">
        <f>506250/13500</f>
        <v>37.5</v>
      </c>
    </row>
    <row r="16" spans="1:10" x14ac:dyDescent="0.3">
      <c r="A16" s="1" t="s">
        <v>37</v>
      </c>
      <c r="B16" s="2">
        <v>600750</v>
      </c>
      <c r="C16" s="43">
        <f>C17-C15</f>
        <v>600750</v>
      </c>
    </row>
    <row r="17" spans="1:12" x14ac:dyDescent="0.3">
      <c r="A17" s="1" t="s">
        <v>38</v>
      </c>
      <c r="B17" s="264">
        <f>B15+B16</f>
        <v>1133250</v>
      </c>
      <c r="C17" s="43">
        <v>1107000</v>
      </c>
    </row>
    <row r="18" spans="1:12" ht="18" x14ac:dyDescent="0.35">
      <c r="A18" s="1" t="s">
        <v>39</v>
      </c>
      <c r="B18" s="2"/>
      <c r="C18" s="44">
        <f>C17/13500</f>
        <v>82</v>
      </c>
    </row>
    <row r="19" spans="1:12" x14ac:dyDescent="0.3">
      <c r="A19" s="315"/>
      <c r="B19" s="315"/>
      <c r="C19" s="46"/>
      <c r="I19" s="315" t="s">
        <v>40</v>
      </c>
      <c r="J19" s="315"/>
      <c r="K19" s="315"/>
      <c r="L19" s="315"/>
    </row>
    <row r="20" spans="1:12" x14ac:dyDescent="0.3">
      <c r="A20" s="47"/>
      <c r="B20" s="47"/>
      <c r="C20" s="46"/>
      <c r="I20" s="47"/>
      <c r="J20" s="47"/>
      <c r="K20" s="47"/>
      <c r="L20" s="47"/>
    </row>
    <row r="21" spans="1:12" x14ac:dyDescent="0.3">
      <c r="A21" s="48" t="s">
        <v>41</v>
      </c>
      <c r="B21" s="47"/>
      <c r="C21" s="46"/>
      <c r="I21" s="47"/>
      <c r="J21" s="47"/>
      <c r="K21" s="47"/>
      <c r="L21" s="47"/>
    </row>
    <row r="22" spans="1:12" x14ac:dyDescent="0.3">
      <c r="A22" s="316" t="s">
        <v>40</v>
      </c>
      <c r="B22" s="316"/>
      <c r="C22" s="316"/>
      <c r="D22" s="316"/>
    </row>
    <row r="23" spans="1:12" s="51" customFormat="1" x14ac:dyDescent="0.3">
      <c r="A23" s="195" t="s">
        <v>42</v>
      </c>
      <c r="B23" s="49">
        <v>69000</v>
      </c>
      <c r="C23" s="50">
        <v>0.7</v>
      </c>
      <c r="D23" s="50">
        <f>+B23*C23</f>
        <v>48300</v>
      </c>
    </row>
    <row r="24" spans="1:12" x14ac:dyDescent="0.3">
      <c r="A24" s="358">
        <v>43376</v>
      </c>
      <c r="B24" s="49">
        <v>90000</v>
      </c>
      <c r="C24" s="50">
        <v>0.62</v>
      </c>
      <c r="D24" s="50">
        <f t="shared" ref="D24:D25" si="1">+B24*C24</f>
        <v>55800</v>
      </c>
    </row>
    <row r="25" spans="1:12" x14ac:dyDescent="0.3">
      <c r="A25" s="358">
        <v>43419</v>
      </c>
      <c r="B25" s="49">
        <v>96000</v>
      </c>
      <c r="C25" s="50">
        <v>0.75</v>
      </c>
      <c r="D25" s="50">
        <f t="shared" si="1"/>
        <v>72000</v>
      </c>
    </row>
    <row r="26" spans="1:12" x14ac:dyDescent="0.3">
      <c r="A26" s="359" t="s">
        <v>43</v>
      </c>
      <c r="B26" s="52">
        <f>SUM(B23:B25)</f>
        <v>255000</v>
      </c>
      <c r="C26" s="265">
        <f>176100/255000</f>
        <v>0.69058823529411761</v>
      </c>
      <c r="D26" s="53">
        <f>+SUM(D23:D25)</f>
        <v>176100</v>
      </c>
      <c r="H26" s="31"/>
    </row>
    <row r="27" spans="1:12" x14ac:dyDescent="0.3">
      <c r="A27" s="49" t="s">
        <v>44</v>
      </c>
      <c r="B27" s="49">
        <v>81600</v>
      </c>
      <c r="C27" s="49"/>
      <c r="D27" s="49"/>
    </row>
    <row r="28" spans="1:12" x14ac:dyDescent="0.3">
      <c r="A28" s="54" t="s">
        <v>45</v>
      </c>
      <c r="B28" s="55">
        <f>B26-B27</f>
        <v>173400</v>
      </c>
      <c r="C28" s="56">
        <v>0.69</v>
      </c>
      <c r="D28" s="57">
        <f>B28*C28</f>
        <v>119645.99999999999</v>
      </c>
    </row>
    <row r="32" spans="1:12" ht="25.8" customHeight="1" x14ac:dyDescent="0.3">
      <c r="A32" s="58">
        <v>9230</v>
      </c>
      <c r="B32" s="312" t="s">
        <v>46</v>
      </c>
      <c r="C32" s="312"/>
      <c r="D32" s="312"/>
      <c r="E32" s="312" t="s">
        <v>463</v>
      </c>
      <c r="F32" s="312"/>
      <c r="G32" s="312"/>
    </row>
    <row r="33" spans="1:7" x14ac:dyDescent="0.3">
      <c r="A33" s="1"/>
      <c r="B33" s="32" t="s">
        <v>2</v>
      </c>
      <c r="C33" s="32" t="s">
        <v>1</v>
      </c>
      <c r="D33" s="32" t="s">
        <v>0</v>
      </c>
      <c r="E33" s="32" t="s">
        <v>2</v>
      </c>
      <c r="F33" s="32" t="s">
        <v>1</v>
      </c>
      <c r="G33" s="32" t="s">
        <v>0</v>
      </c>
    </row>
    <row r="34" spans="1:7" x14ac:dyDescent="0.3">
      <c r="A34" s="1" t="s">
        <v>30</v>
      </c>
      <c r="B34" s="59">
        <v>173400</v>
      </c>
      <c r="C34" s="60">
        <v>0.69</v>
      </c>
      <c r="D34" s="56">
        <f>B34*C34</f>
        <v>119645.99999999999</v>
      </c>
      <c r="E34" s="49">
        <f>9230*B5</f>
        <v>184600</v>
      </c>
      <c r="F34" s="266">
        <v>0.67</v>
      </c>
      <c r="G34" s="22">
        <f>E34*F34</f>
        <v>123682.00000000001</v>
      </c>
    </row>
    <row r="35" spans="1:7" x14ac:dyDescent="0.3">
      <c r="A35" s="1" t="s">
        <v>31</v>
      </c>
      <c r="B35" s="49">
        <v>20400</v>
      </c>
      <c r="C35" s="61">
        <v>21</v>
      </c>
      <c r="D35" s="61">
        <f>B35*C35</f>
        <v>428400</v>
      </c>
      <c r="E35" s="49">
        <f t="shared" ref="E35:E36" si="2">9230*B6</f>
        <v>20767.5</v>
      </c>
      <c r="F35" s="266">
        <f>C6</f>
        <v>22</v>
      </c>
      <c r="G35" s="22">
        <f t="shared" ref="G35:G36" si="3">E35*F35</f>
        <v>456885</v>
      </c>
    </row>
    <row r="36" spans="1:7" x14ac:dyDescent="0.3">
      <c r="A36" s="1" t="s">
        <v>47</v>
      </c>
      <c r="B36" s="49">
        <v>14200</v>
      </c>
      <c r="C36" s="61">
        <v>81</v>
      </c>
      <c r="D36" s="61">
        <f>B36*C36</f>
        <v>1150200</v>
      </c>
      <c r="E36" s="49">
        <f t="shared" si="2"/>
        <v>13845</v>
      </c>
      <c r="F36" s="266">
        <f>C7</f>
        <v>82</v>
      </c>
      <c r="G36" s="22">
        <f t="shared" si="3"/>
        <v>1135290</v>
      </c>
    </row>
    <row r="37" spans="1:7" ht="21" x14ac:dyDescent="0.4">
      <c r="A37" s="29" t="s">
        <v>48</v>
      </c>
      <c r="B37" s="52">
        <v>9230</v>
      </c>
      <c r="C37" s="62">
        <f>D37/B37</f>
        <v>183.99198266522211</v>
      </c>
      <c r="D37" s="63">
        <f>D34+D35+D36</f>
        <v>1698246</v>
      </c>
      <c r="E37" s="52">
        <v>9230</v>
      </c>
      <c r="F37" s="64">
        <f>G37/E37</f>
        <v>185.9</v>
      </c>
      <c r="G37" s="63">
        <f>SUM(G34:G36)</f>
        <v>1715857</v>
      </c>
    </row>
  </sheetData>
  <mergeCells count="7">
    <mergeCell ref="B32:D32"/>
    <mergeCell ref="E32:G32"/>
    <mergeCell ref="A1:J1"/>
    <mergeCell ref="A8:C8"/>
    <mergeCell ref="A19:B19"/>
    <mergeCell ref="I19:L19"/>
    <mergeCell ref="A22:D2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ADD2-D32E-4139-9059-5775FFD823BD}">
  <dimension ref="A1:K105"/>
  <sheetViews>
    <sheetView showGridLines="0" zoomScale="160" zoomScaleNormal="160" workbookViewId="0">
      <selection activeCell="B15" sqref="B15"/>
    </sheetView>
  </sheetViews>
  <sheetFormatPr baseColWidth="10" defaultRowHeight="14.4" x14ac:dyDescent="0.3"/>
  <cols>
    <col min="1" max="1" width="25" bestFit="1" customWidth="1"/>
    <col min="2" max="2" width="14.5546875" customWidth="1"/>
    <col min="3" max="3" width="17.44140625" customWidth="1"/>
    <col min="4" max="4" width="14" customWidth="1"/>
    <col min="5" max="5" width="17.109375" customWidth="1"/>
    <col min="6" max="6" width="15.88671875" customWidth="1"/>
    <col min="7" max="7" width="12.88671875" bestFit="1" customWidth="1"/>
    <col min="9" max="9" width="12.109375" bestFit="1" customWidth="1"/>
    <col min="10" max="10" width="17" customWidth="1"/>
  </cols>
  <sheetData>
    <row r="1" spans="1:10" ht="23.4" x14ac:dyDescent="0.45">
      <c r="A1" s="313" t="s">
        <v>104</v>
      </c>
      <c r="B1" s="313"/>
      <c r="C1" s="313"/>
      <c r="D1" s="313"/>
      <c r="E1" s="313"/>
      <c r="F1" s="313"/>
      <c r="G1" s="313"/>
      <c r="H1" s="313"/>
      <c r="I1" s="313"/>
      <c r="J1" s="313"/>
    </row>
    <row r="3" spans="1:10" x14ac:dyDescent="0.3">
      <c r="B3" s="314" t="s">
        <v>401</v>
      </c>
      <c r="C3" s="314"/>
      <c r="D3" s="314"/>
      <c r="E3" s="314" t="s">
        <v>402</v>
      </c>
      <c r="F3" s="314"/>
      <c r="G3" s="314"/>
    </row>
    <row r="4" spans="1:10" x14ac:dyDescent="0.3">
      <c r="A4" s="1"/>
      <c r="B4" s="7" t="s">
        <v>2</v>
      </c>
      <c r="C4" s="7" t="s">
        <v>1</v>
      </c>
      <c r="D4" s="7" t="s">
        <v>0</v>
      </c>
      <c r="E4" s="7" t="s">
        <v>2</v>
      </c>
      <c r="F4" s="7" t="s">
        <v>1</v>
      </c>
      <c r="G4" s="7" t="s">
        <v>0</v>
      </c>
    </row>
    <row r="5" spans="1:10" x14ac:dyDescent="0.3">
      <c r="A5" s="6" t="s">
        <v>0</v>
      </c>
      <c r="B5" s="21">
        <v>8</v>
      </c>
      <c r="C5" s="9">
        <v>5</v>
      </c>
      <c r="D5" s="27">
        <f>B5*C5</f>
        <v>40</v>
      </c>
      <c r="E5" s="21">
        <v>3</v>
      </c>
      <c r="F5" s="8">
        <v>5</v>
      </c>
      <c r="G5" s="28">
        <f>+E5*F5</f>
        <v>15</v>
      </c>
    </row>
    <row r="6" spans="1:10" x14ac:dyDescent="0.3">
      <c r="A6" s="6" t="s">
        <v>3</v>
      </c>
      <c r="B6" s="6">
        <v>5</v>
      </c>
      <c r="C6" s="9">
        <v>2</v>
      </c>
      <c r="D6" s="27">
        <f t="shared" ref="D6:D10" si="0">B6*C6</f>
        <v>10</v>
      </c>
      <c r="E6" s="6">
        <v>6</v>
      </c>
      <c r="F6" s="8">
        <v>2</v>
      </c>
      <c r="G6" s="28">
        <f t="shared" ref="G6:G10" si="1">+E6*F6</f>
        <v>12</v>
      </c>
    </row>
    <row r="7" spans="1:10" x14ac:dyDescent="0.3">
      <c r="A7" s="6" t="s">
        <v>4</v>
      </c>
      <c r="B7" s="6">
        <v>10</v>
      </c>
      <c r="C7" s="9">
        <v>30</v>
      </c>
      <c r="D7" s="19">
        <f t="shared" si="0"/>
        <v>300</v>
      </c>
      <c r="E7" s="6">
        <v>8</v>
      </c>
      <c r="F7" s="8">
        <f>C7</f>
        <v>30</v>
      </c>
      <c r="G7" s="20">
        <f t="shared" si="1"/>
        <v>240</v>
      </c>
    </row>
    <row r="8" spans="1:10" x14ac:dyDescent="0.3">
      <c r="A8" s="6" t="s">
        <v>5</v>
      </c>
      <c r="B8" s="6">
        <v>9</v>
      </c>
      <c r="C8" s="9">
        <f>445500/29700</f>
        <v>15</v>
      </c>
      <c r="D8" s="19">
        <f t="shared" si="0"/>
        <v>135</v>
      </c>
      <c r="E8" s="6">
        <v>7.2</v>
      </c>
      <c r="F8" s="8">
        <f t="shared" ref="F8:F10" si="2">C8</f>
        <v>15</v>
      </c>
      <c r="G8" s="20">
        <f t="shared" si="1"/>
        <v>108</v>
      </c>
    </row>
    <row r="9" spans="1:10" x14ac:dyDescent="0.3">
      <c r="A9" s="6" t="s">
        <v>6</v>
      </c>
      <c r="B9" s="6">
        <v>2</v>
      </c>
      <c r="C9" s="9">
        <v>36</v>
      </c>
      <c r="D9" s="19">
        <f t="shared" si="0"/>
        <v>72</v>
      </c>
      <c r="E9" s="6">
        <v>2.4</v>
      </c>
      <c r="F9" s="8">
        <f t="shared" si="2"/>
        <v>36</v>
      </c>
      <c r="G9" s="20">
        <f t="shared" si="1"/>
        <v>86.399999999999991</v>
      </c>
      <c r="I9">
        <f>145*858</f>
        <v>124410</v>
      </c>
    </row>
    <row r="10" spans="1:10" x14ac:dyDescent="0.3">
      <c r="A10" s="6" t="s">
        <v>7</v>
      </c>
      <c r="B10" s="6">
        <v>2</v>
      </c>
      <c r="C10" s="9">
        <f>92400/6600</f>
        <v>14</v>
      </c>
      <c r="D10" s="19">
        <f t="shared" si="0"/>
        <v>28</v>
      </c>
      <c r="E10" s="6">
        <v>2.4</v>
      </c>
      <c r="F10" s="8">
        <f t="shared" si="2"/>
        <v>14</v>
      </c>
      <c r="G10" s="20">
        <f t="shared" si="1"/>
        <v>33.6</v>
      </c>
      <c r="I10" s="31">
        <f>G11*135</f>
        <v>66825</v>
      </c>
    </row>
    <row r="11" spans="1:10" x14ac:dyDescent="0.3">
      <c r="A11" s="3" t="s">
        <v>8</v>
      </c>
      <c r="B11" s="3">
        <v>1</v>
      </c>
      <c r="C11" s="4"/>
      <c r="D11" s="4">
        <f>SUM(D5:D10)</f>
        <v>585</v>
      </c>
      <c r="E11" s="3">
        <v>1</v>
      </c>
      <c r="F11" s="5"/>
      <c r="G11" s="5">
        <f>+SUM(G5:G10)</f>
        <v>495</v>
      </c>
    </row>
    <row r="12" spans="1:10" x14ac:dyDescent="0.3">
      <c r="A12" s="267"/>
      <c r="B12" s="267"/>
      <c r="C12" s="268"/>
      <c r="D12" s="268"/>
      <c r="E12" s="267"/>
      <c r="F12" s="269"/>
      <c r="G12" s="269"/>
    </row>
    <row r="13" spans="1:10" x14ac:dyDescent="0.3">
      <c r="A13" s="267"/>
      <c r="B13" s="267"/>
      <c r="C13" s="268"/>
      <c r="D13" s="268"/>
      <c r="E13" s="267"/>
      <c r="F13" s="269"/>
      <c r="G13" s="269"/>
    </row>
    <row r="14" spans="1:10" x14ac:dyDescent="0.3">
      <c r="A14" s="267" t="s">
        <v>464</v>
      </c>
      <c r="B14" s="267"/>
      <c r="C14" s="268"/>
      <c r="D14" s="267" t="s">
        <v>465</v>
      </c>
      <c r="E14" s="267"/>
      <c r="F14" s="269"/>
      <c r="G14" s="269"/>
    </row>
    <row r="15" spans="1:10" x14ac:dyDescent="0.3">
      <c r="A15" s="361">
        <f>40+10+300*50%+135*50%+72*50%+28*50%</f>
        <v>317.5</v>
      </c>
      <c r="B15" s="267"/>
      <c r="C15" s="268"/>
      <c r="D15" s="361">
        <f>15+12+(240+108+86.4+33.6)*50%</f>
        <v>261</v>
      </c>
      <c r="E15" s="267"/>
      <c r="F15" s="269"/>
      <c r="G15" s="269"/>
    </row>
    <row r="16" spans="1:10" x14ac:dyDescent="0.3">
      <c r="A16" s="267"/>
      <c r="B16" s="267"/>
      <c r="C16" s="268"/>
      <c r="D16" s="268"/>
      <c r="E16" s="267"/>
      <c r="F16" s="269"/>
      <c r="G16" s="269"/>
    </row>
    <row r="17" spans="1:7" x14ac:dyDescent="0.3">
      <c r="A17" s="1"/>
      <c r="B17" s="1" t="s">
        <v>17</v>
      </c>
      <c r="C17" s="1" t="s">
        <v>18</v>
      </c>
      <c r="D17" s="268"/>
      <c r="E17" s="267"/>
      <c r="F17" s="269"/>
      <c r="G17" s="269"/>
    </row>
    <row r="18" spans="1:7" x14ac:dyDescent="0.3">
      <c r="A18" s="1" t="s">
        <v>9</v>
      </c>
      <c r="B18" s="1">
        <v>20</v>
      </c>
      <c r="C18" s="1">
        <v>15</v>
      </c>
      <c r="D18" s="268"/>
      <c r="E18" s="267"/>
      <c r="F18" s="269"/>
      <c r="G18" s="269"/>
    </row>
    <row r="19" spans="1:7" x14ac:dyDescent="0.3">
      <c r="A19" s="1" t="s">
        <v>10</v>
      </c>
      <c r="B19" s="1">
        <v>15</v>
      </c>
      <c r="C19" s="1">
        <v>8</v>
      </c>
      <c r="D19" s="268"/>
      <c r="E19" s="267"/>
      <c r="F19" s="269"/>
      <c r="G19" s="269"/>
    </row>
    <row r="20" spans="1:7" x14ac:dyDescent="0.3">
      <c r="D20" s="268"/>
      <c r="E20" s="267"/>
      <c r="F20" s="269"/>
      <c r="G20" s="269"/>
    </row>
    <row r="21" spans="1:7" x14ac:dyDescent="0.3">
      <c r="B21" s="68" t="s">
        <v>9</v>
      </c>
      <c r="C21" s="68" t="s">
        <v>10</v>
      </c>
      <c r="D21" s="268"/>
      <c r="E21" s="267"/>
      <c r="F21" s="269"/>
      <c r="G21" s="269"/>
    </row>
    <row r="22" spans="1:7" x14ac:dyDescent="0.3">
      <c r="A22" s="311" t="s">
        <v>11</v>
      </c>
      <c r="B22" s="10">
        <f>B18*317.5</f>
        <v>6350</v>
      </c>
      <c r="C22" s="10">
        <f>B19*261</f>
        <v>3915</v>
      </c>
      <c r="D22" s="268"/>
      <c r="E22" s="267"/>
      <c r="F22" s="269"/>
      <c r="G22" s="269"/>
    </row>
    <row r="23" spans="1:7" x14ac:dyDescent="0.3">
      <c r="A23" s="311" t="s">
        <v>12</v>
      </c>
      <c r="B23" s="10">
        <f>C18*317.5</f>
        <v>4762.5</v>
      </c>
      <c r="C23" s="10">
        <f>8*261</f>
        <v>2088</v>
      </c>
      <c r="D23" s="268"/>
      <c r="E23" s="267"/>
      <c r="F23" s="269"/>
      <c r="G23" s="269"/>
    </row>
    <row r="24" spans="1:7" x14ac:dyDescent="0.3">
      <c r="A24" s="267"/>
      <c r="B24" s="267"/>
      <c r="C24" s="268"/>
      <c r="D24" s="268"/>
      <c r="E24" s="267"/>
      <c r="F24" s="269"/>
      <c r="G24" s="269"/>
    </row>
    <row r="25" spans="1:7" x14ac:dyDescent="0.3">
      <c r="A25" s="267"/>
      <c r="B25" s="267"/>
      <c r="C25" s="268"/>
      <c r="D25" s="268"/>
      <c r="E25" s="267"/>
      <c r="F25" s="269"/>
      <c r="G25" s="269"/>
    </row>
    <row r="26" spans="1:7" x14ac:dyDescent="0.3">
      <c r="A26" s="267"/>
      <c r="B26" s="267"/>
      <c r="C26" s="268"/>
      <c r="D26" s="268"/>
      <c r="E26" s="267"/>
      <c r="F26" s="269"/>
      <c r="G26" s="269"/>
    </row>
    <row r="28" spans="1:7" x14ac:dyDescent="0.3">
      <c r="A28" s="15"/>
      <c r="B28" s="15" t="s">
        <v>9</v>
      </c>
      <c r="C28" s="15" t="s">
        <v>10</v>
      </c>
    </row>
    <row r="29" spans="1:7" x14ac:dyDescent="0.3">
      <c r="A29" s="11" t="s">
        <v>13</v>
      </c>
      <c r="B29" s="12">
        <f>(D5+D6)+0.5*(SUM(D7:D10))</f>
        <v>317.5</v>
      </c>
      <c r="C29" s="12">
        <f>(G5+G6)+0.5*(SUM(G7:G10))</f>
        <v>261</v>
      </c>
    </row>
    <row r="32" spans="1:7" x14ac:dyDescent="0.3">
      <c r="A32" s="1"/>
      <c r="B32" s="1" t="s">
        <v>17</v>
      </c>
      <c r="C32" s="1" t="s">
        <v>18</v>
      </c>
    </row>
    <row r="33" spans="1:11" x14ac:dyDescent="0.3">
      <c r="A33" s="1" t="s">
        <v>9</v>
      </c>
      <c r="B33" s="1">
        <v>20</v>
      </c>
      <c r="C33" s="1">
        <v>15</v>
      </c>
    </row>
    <row r="34" spans="1:11" x14ac:dyDescent="0.3">
      <c r="A34" s="1" t="s">
        <v>10</v>
      </c>
      <c r="B34" s="1">
        <v>15</v>
      </c>
      <c r="C34" s="1">
        <v>8</v>
      </c>
    </row>
    <row r="36" spans="1:11" x14ac:dyDescent="0.3">
      <c r="B36" s="68" t="s">
        <v>9</v>
      </c>
      <c r="C36" s="68" t="s">
        <v>10</v>
      </c>
    </row>
    <row r="37" spans="1:11" x14ac:dyDescent="0.3">
      <c r="A37" s="15" t="s">
        <v>11</v>
      </c>
      <c r="B37" s="10">
        <f>B29*20</f>
        <v>6350</v>
      </c>
      <c r="C37" s="10">
        <f>C29*15</f>
        <v>3915</v>
      </c>
    </row>
    <row r="38" spans="1:11" x14ac:dyDescent="0.3">
      <c r="A38" s="15" t="s">
        <v>12</v>
      </c>
      <c r="B38" s="10">
        <f>B29*15</f>
        <v>4762.5</v>
      </c>
      <c r="C38" s="10">
        <f>C29*8</f>
        <v>2088</v>
      </c>
    </row>
    <row r="44" spans="1:11" x14ac:dyDescent="0.3">
      <c r="D44" s="16"/>
      <c r="E44" s="16"/>
      <c r="F44" s="16"/>
      <c r="G44" s="16"/>
      <c r="H44" s="16"/>
      <c r="I44" s="16"/>
      <c r="J44" s="16"/>
      <c r="K44" s="16"/>
    </row>
    <row r="45" spans="1:11" x14ac:dyDescent="0.3">
      <c r="D45" s="16"/>
      <c r="E45" s="16" t="s">
        <v>0</v>
      </c>
      <c r="F45" s="17">
        <v>1</v>
      </c>
      <c r="G45" s="16">
        <v>20</v>
      </c>
      <c r="H45" s="18">
        <f>D5</f>
        <v>40</v>
      </c>
      <c r="I45" s="18">
        <f>F45*G45*H45</f>
        <v>800</v>
      </c>
      <c r="J45" s="16"/>
      <c r="K45" s="16"/>
    </row>
    <row r="46" spans="1:11" x14ac:dyDescent="0.3">
      <c r="D46" s="16"/>
      <c r="E46" s="16" t="s">
        <v>3</v>
      </c>
      <c r="F46" s="17">
        <v>1</v>
      </c>
      <c r="G46" s="16">
        <v>20</v>
      </c>
      <c r="H46" s="18"/>
      <c r="I46" s="18">
        <f t="shared" ref="I46:I48" si="3">F46*G46*H46</f>
        <v>0</v>
      </c>
      <c r="J46" s="16"/>
      <c r="K46" s="16"/>
    </row>
    <row r="47" spans="1:11" x14ac:dyDescent="0.3">
      <c r="D47" s="16"/>
      <c r="E47" s="16" t="s">
        <v>4</v>
      </c>
      <c r="F47" s="17">
        <v>0.5</v>
      </c>
      <c r="G47" s="16">
        <v>20</v>
      </c>
      <c r="H47" s="18">
        <f>D7</f>
        <v>300</v>
      </c>
      <c r="I47" s="18">
        <f t="shared" si="3"/>
        <v>3000</v>
      </c>
      <c r="J47" s="16"/>
      <c r="K47" s="16"/>
    </row>
    <row r="48" spans="1:11" x14ac:dyDescent="0.3">
      <c r="D48" s="16"/>
      <c r="E48" s="16" t="s">
        <v>5</v>
      </c>
      <c r="F48" s="17">
        <v>0.5</v>
      </c>
      <c r="G48" s="16">
        <v>20</v>
      </c>
      <c r="H48" s="18">
        <f>D8</f>
        <v>135</v>
      </c>
      <c r="I48" s="18">
        <f t="shared" si="3"/>
        <v>1350</v>
      </c>
      <c r="J48" s="16"/>
      <c r="K48" s="16"/>
    </row>
    <row r="49" spans="1:7" x14ac:dyDescent="0.3">
      <c r="B49" s="318" t="s">
        <v>459</v>
      </c>
      <c r="C49" s="318"/>
      <c r="D49" s="318"/>
      <c r="E49" s="318"/>
      <c r="F49" s="318"/>
    </row>
    <row r="50" spans="1:7" ht="28.8" x14ac:dyDescent="0.3">
      <c r="A50" s="1"/>
      <c r="B50" s="13" t="s">
        <v>14</v>
      </c>
      <c r="C50" s="13" t="s">
        <v>15</v>
      </c>
      <c r="D50" s="13" t="s">
        <v>16</v>
      </c>
      <c r="E50" s="13" t="s">
        <v>19</v>
      </c>
      <c r="F50" s="13" t="s">
        <v>20</v>
      </c>
    </row>
    <row r="51" spans="1:7" x14ac:dyDescent="0.3">
      <c r="A51" s="1" t="str">
        <f>A5</f>
        <v>M</v>
      </c>
      <c r="B51" s="29">
        <f>(145*8)</f>
        <v>1160</v>
      </c>
      <c r="C51" s="29">
        <f>(15*8)</f>
        <v>120</v>
      </c>
      <c r="D51" s="29">
        <f>(20*8)</f>
        <v>160</v>
      </c>
      <c r="E51" s="29">
        <f>B51-D51+C51</f>
        <v>1120</v>
      </c>
      <c r="F51" s="30">
        <f>E51*5</f>
        <v>5600</v>
      </c>
      <c r="G51" s="23" t="s">
        <v>456</v>
      </c>
    </row>
    <row r="52" spans="1:7" x14ac:dyDescent="0.3">
      <c r="A52" s="1" t="str">
        <f>A6</f>
        <v>N</v>
      </c>
      <c r="B52" s="1">
        <f>145*5</f>
        <v>725</v>
      </c>
      <c r="C52" s="1">
        <f>15*5</f>
        <v>75</v>
      </c>
      <c r="D52" s="1">
        <f>(20*5)</f>
        <v>100</v>
      </c>
      <c r="E52" s="1">
        <f>B52+C52-D52</f>
        <v>700</v>
      </c>
      <c r="F52" s="22">
        <f>E52*2</f>
        <v>1400</v>
      </c>
      <c r="G52" s="23" t="s">
        <v>457</v>
      </c>
    </row>
    <row r="53" spans="1:7" x14ac:dyDescent="0.3">
      <c r="A53" s="1" t="str">
        <f>A7</f>
        <v>MOD Usinage</v>
      </c>
      <c r="B53" s="24">
        <f>(145*10)</f>
        <v>1450</v>
      </c>
      <c r="C53" s="24">
        <f>(15*10*50%)</f>
        <v>75</v>
      </c>
      <c r="D53" s="25">
        <f>(20*10*0.5)</f>
        <v>100</v>
      </c>
      <c r="E53" s="1">
        <f>B53-D53+C53</f>
        <v>1425</v>
      </c>
      <c r="F53" s="22">
        <f>E53*30</f>
        <v>42750</v>
      </c>
      <c r="G53" s="23" t="s">
        <v>452</v>
      </c>
    </row>
    <row r="54" spans="1:7" x14ac:dyDescent="0.3">
      <c r="A54" s="1" t="str">
        <f>A8</f>
        <v>Usinage Charges indirectes</v>
      </c>
      <c r="B54" s="1">
        <f>145*9</f>
        <v>1305</v>
      </c>
      <c r="C54" s="1">
        <f>((15*9)*0.5)</f>
        <v>67.5</v>
      </c>
      <c r="D54" s="1">
        <f>((20*9)*0.5)</f>
        <v>90</v>
      </c>
      <c r="E54" s="1">
        <f t="shared" ref="E54:E56" si="4">B54+C54-D54</f>
        <v>1282.5</v>
      </c>
      <c r="F54" s="22">
        <f>E54*15</f>
        <v>19237.5</v>
      </c>
      <c r="G54" s="23" t="s">
        <v>453</v>
      </c>
    </row>
    <row r="55" spans="1:7" x14ac:dyDescent="0.3">
      <c r="A55" s="1" t="str">
        <f>A9</f>
        <v>MOD Montage</v>
      </c>
      <c r="B55" s="1">
        <f>145*2</f>
        <v>290</v>
      </c>
      <c r="C55" s="1">
        <f>((15*2)*0.5)</f>
        <v>15</v>
      </c>
      <c r="D55" s="1">
        <f>((20*2)*0.5)</f>
        <v>20</v>
      </c>
      <c r="E55" s="1">
        <f t="shared" si="4"/>
        <v>285</v>
      </c>
      <c r="F55" s="22">
        <f>E55*36</f>
        <v>10260</v>
      </c>
      <c r="G55" s="23" t="s">
        <v>454</v>
      </c>
    </row>
    <row r="56" spans="1:7" x14ac:dyDescent="0.3">
      <c r="A56" s="1" t="str">
        <f>A10</f>
        <v>Montage Charges indirectes</v>
      </c>
      <c r="B56" s="1">
        <f>B55</f>
        <v>290</v>
      </c>
      <c r="C56" s="1">
        <f>C55</f>
        <v>15</v>
      </c>
      <c r="D56" s="1">
        <f>D55</f>
        <v>20</v>
      </c>
      <c r="E56" s="1">
        <f t="shared" si="4"/>
        <v>285</v>
      </c>
      <c r="F56" s="22">
        <f>E56*14</f>
        <v>3990</v>
      </c>
      <c r="G56" s="23" t="s">
        <v>455</v>
      </c>
    </row>
    <row r="57" spans="1:7" x14ac:dyDescent="0.3">
      <c r="F57" s="14">
        <f>SUM(F51:F56)</f>
        <v>83237.5</v>
      </c>
    </row>
    <row r="63" spans="1:7" x14ac:dyDescent="0.3">
      <c r="A63" s="317"/>
      <c r="B63" s="317"/>
      <c r="C63" s="15" t="s">
        <v>9</v>
      </c>
      <c r="D63" s="15" t="s">
        <v>10</v>
      </c>
      <c r="E63" s="15" t="s">
        <v>28</v>
      </c>
    </row>
    <row r="64" spans="1:7" x14ac:dyDescent="0.3">
      <c r="A64" s="317" t="s">
        <v>21</v>
      </c>
      <c r="B64" s="317"/>
      <c r="C64" s="33">
        <v>81000</v>
      </c>
      <c r="D64" s="33">
        <v>67000</v>
      </c>
    </row>
    <row r="65" spans="1:6" x14ac:dyDescent="0.3">
      <c r="A65" s="317" t="s">
        <v>22</v>
      </c>
      <c r="B65" s="317"/>
      <c r="C65" s="2">
        <f>B37</f>
        <v>6350</v>
      </c>
      <c r="D65" s="2">
        <f>C37</f>
        <v>3915</v>
      </c>
    </row>
    <row r="66" spans="1:6" x14ac:dyDescent="0.3">
      <c r="A66" s="317" t="s">
        <v>23</v>
      </c>
      <c r="B66" s="317"/>
      <c r="C66" s="2">
        <f>B38</f>
        <v>4762.5</v>
      </c>
      <c r="D66" s="2">
        <f>C38</f>
        <v>2088</v>
      </c>
    </row>
    <row r="67" spans="1:6" x14ac:dyDescent="0.3">
      <c r="A67" s="317" t="s">
        <v>24</v>
      </c>
      <c r="B67" s="317"/>
      <c r="C67" s="2">
        <f>C64+C65-C66</f>
        <v>82587.5</v>
      </c>
      <c r="D67" s="2">
        <f>D64+D65-D66</f>
        <v>68827</v>
      </c>
      <c r="E67" s="2">
        <f>C67+D67</f>
        <v>151414.5</v>
      </c>
    </row>
    <row r="68" spans="1:6" x14ac:dyDescent="0.3">
      <c r="A68" s="317" t="s">
        <v>25</v>
      </c>
      <c r="B68" s="317"/>
      <c r="C68" s="1">
        <v>145</v>
      </c>
      <c r="D68" s="1">
        <v>135</v>
      </c>
    </row>
    <row r="69" spans="1:6" ht="15.6" x14ac:dyDescent="0.3">
      <c r="A69" s="317" t="s">
        <v>27</v>
      </c>
      <c r="B69" s="317"/>
      <c r="C69" s="34">
        <f>C67/C68</f>
        <v>569.56896551724139</v>
      </c>
      <c r="D69" s="35">
        <f>D67/D68</f>
        <v>509.82962962962961</v>
      </c>
    </row>
    <row r="70" spans="1:6" x14ac:dyDescent="0.3">
      <c r="A70" s="317" t="s">
        <v>26</v>
      </c>
      <c r="B70" s="317"/>
      <c r="C70" s="2">
        <f>D11</f>
        <v>585</v>
      </c>
      <c r="D70" s="2">
        <f>G11</f>
        <v>495</v>
      </c>
      <c r="E70" s="2">
        <f>(C70*C68)+(D70*D68)</f>
        <v>151650</v>
      </c>
    </row>
    <row r="72" spans="1:6" x14ac:dyDescent="0.3">
      <c r="E72" s="31">
        <f>E67-E70</f>
        <v>-235.5</v>
      </c>
    </row>
    <row r="77" spans="1:6" x14ac:dyDescent="0.3">
      <c r="B77" s="318" t="s">
        <v>9</v>
      </c>
      <c r="C77" s="318"/>
      <c r="D77" s="318"/>
      <c r="E77" s="318"/>
      <c r="F77" s="318"/>
    </row>
    <row r="78" spans="1:6" ht="28.8" x14ac:dyDescent="0.3">
      <c r="A78" s="270" t="s">
        <v>403</v>
      </c>
      <c r="B78" s="271" t="s">
        <v>14</v>
      </c>
      <c r="C78" s="271" t="s">
        <v>15</v>
      </c>
      <c r="D78" s="271" t="s">
        <v>16</v>
      </c>
      <c r="E78" s="271" t="s">
        <v>19</v>
      </c>
      <c r="F78" s="271" t="s">
        <v>20</v>
      </c>
    </row>
    <row r="79" spans="1:6" x14ac:dyDescent="0.3">
      <c r="A79" s="6" t="str">
        <f>A51</f>
        <v>M</v>
      </c>
      <c r="B79" s="6">
        <f>145*8</f>
        <v>1160</v>
      </c>
      <c r="C79" s="6">
        <f>15*8</f>
        <v>120</v>
      </c>
      <c r="D79" s="6">
        <f>20*8</f>
        <v>160</v>
      </c>
      <c r="E79" s="6">
        <f>B79-D79+C79</f>
        <v>1120</v>
      </c>
      <c r="F79" s="9">
        <f>E79*5</f>
        <v>5600</v>
      </c>
    </row>
    <row r="80" spans="1:6" x14ac:dyDescent="0.3">
      <c r="A80" s="6" t="str">
        <f t="shared" ref="A80:A84" si="5">A52</f>
        <v>N</v>
      </c>
      <c r="B80" s="6">
        <f>145*5</f>
        <v>725</v>
      </c>
      <c r="C80" s="6">
        <f>15*5</f>
        <v>75</v>
      </c>
      <c r="D80" s="6">
        <f>20*5</f>
        <v>100</v>
      </c>
      <c r="E80" s="6">
        <f>B80-D80+C80</f>
        <v>700</v>
      </c>
      <c r="F80" s="272">
        <f>E80*2</f>
        <v>1400</v>
      </c>
    </row>
    <row r="81" spans="1:6" x14ac:dyDescent="0.3">
      <c r="A81" s="6" t="str">
        <f t="shared" si="5"/>
        <v>MOD Usinage</v>
      </c>
      <c r="B81" s="6">
        <f>145*10</f>
        <v>1450</v>
      </c>
      <c r="C81" s="6">
        <f>15*10*0.5</f>
        <v>75</v>
      </c>
      <c r="D81" s="6">
        <f>20*10*0.5</f>
        <v>100</v>
      </c>
      <c r="E81" s="6">
        <f>B81-D81+C81</f>
        <v>1425</v>
      </c>
      <c r="F81" s="272">
        <f>E81*30</f>
        <v>42750</v>
      </c>
    </row>
    <row r="82" spans="1:6" x14ac:dyDescent="0.3">
      <c r="A82" s="6" t="str">
        <f t="shared" si="5"/>
        <v>Usinage Charges indirectes</v>
      </c>
      <c r="B82" s="6">
        <f>145*B8</f>
        <v>1305</v>
      </c>
      <c r="C82" s="6">
        <f>15*B8*0.5</f>
        <v>67.5</v>
      </c>
      <c r="D82" s="6">
        <f>20*B8*0.5</f>
        <v>90</v>
      </c>
      <c r="E82" s="6">
        <f t="shared" ref="E82:E84" si="6">B82-D82+C82</f>
        <v>1282.5</v>
      </c>
      <c r="F82" s="272">
        <f>E82*C8</f>
        <v>19237.5</v>
      </c>
    </row>
    <row r="83" spans="1:6" x14ac:dyDescent="0.3">
      <c r="A83" s="6" t="str">
        <f t="shared" si="5"/>
        <v>MOD Montage</v>
      </c>
      <c r="B83" s="6">
        <f>145*B9</f>
        <v>290</v>
      </c>
      <c r="C83" s="6">
        <f>15*B9*0.5</f>
        <v>15</v>
      </c>
      <c r="D83" s="6">
        <f>20*B9*0.5</f>
        <v>20</v>
      </c>
      <c r="E83" s="6">
        <f t="shared" si="6"/>
        <v>285</v>
      </c>
      <c r="F83" s="272">
        <f>E83*C9</f>
        <v>10260</v>
      </c>
    </row>
    <row r="84" spans="1:6" x14ac:dyDescent="0.3">
      <c r="A84" s="6" t="str">
        <f t="shared" si="5"/>
        <v>Montage Charges indirectes</v>
      </c>
      <c r="B84" s="6">
        <f>B83</f>
        <v>290</v>
      </c>
      <c r="C84" s="6">
        <f>C83</f>
        <v>15</v>
      </c>
      <c r="D84" s="6">
        <f>D83</f>
        <v>20</v>
      </c>
      <c r="E84" s="6">
        <f t="shared" si="6"/>
        <v>285</v>
      </c>
      <c r="F84" s="272">
        <f>E84*C10</f>
        <v>3990</v>
      </c>
    </row>
    <row r="85" spans="1:6" x14ac:dyDescent="0.3">
      <c r="A85" s="319" t="s">
        <v>404</v>
      </c>
      <c r="B85" s="319"/>
      <c r="C85" s="319"/>
      <c r="D85" s="319"/>
      <c r="E85" s="319"/>
      <c r="F85" s="9">
        <f>SUM(F79:F84)</f>
        <v>83237.5</v>
      </c>
    </row>
    <row r="88" spans="1:6" x14ac:dyDescent="0.3">
      <c r="A88" s="255" t="s">
        <v>418</v>
      </c>
    </row>
    <row r="89" spans="1:6" x14ac:dyDescent="0.3">
      <c r="A89" s="296" t="s">
        <v>419</v>
      </c>
      <c r="C89" s="297" t="s">
        <v>420</v>
      </c>
    </row>
    <row r="90" spans="1:6" x14ac:dyDescent="0.3">
      <c r="A90" s="296" t="s">
        <v>421</v>
      </c>
      <c r="C90" s="297" t="s">
        <v>422</v>
      </c>
    </row>
    <row r="91" spans="1:6" x14ac:dyDescent="0.3">
      <c r="A91" s="296" t="s">
        <v>423</v>
      </c>
      <c r="C91" s="297" t="s">
        <v>424</v>
      </c>
    </row>
    <row r="92" spans="1:6" x14ac:dyDescent="0.3">
      <c r="A92" s="296" t="s">
        <v>425</v>
      </c>
      <c r="C92" s="297" t="s">
        <v>426</v>
      </c>
    </row>
    <row r="93" spans="1:6" x14ac:dyDescent="0.3">
      <c r="A93" s="296" t="s">
        <v>427</v>
      </c>
      <c r="C93" s="297" t="s">
        <v>428</v>
      </c>
      <c r="D93">
        <f>5300+1650+44600+9870+22350</f>
        <v>83770</v>
      </c>
    </row>
    <row r="94" spans="1:6" x14ac:dyDescent="0.3">
      <c r="A94" s="296"/>
      <c r="C94" s="297"/>
    </row>
    <row r="95" spans="1:6" x14ac:dyDescent="0.3">
      <c r="A95" s="299" t="s">
        <v>437</v>
      </c>
      <c r="B95" s="255"/>
    </row>
    <row r="96" spans="1:6" x14ac:dyDescent="0.3">
      <c r="A96" s="298" t="s">
        <v>460</v>
      </c>
    </row>
    <row r="97" spans="1:3" x14ac:dyDescent="0.3">
      <c r="A97" s="298"/>
    </row>
    <row r="98" spans="1:3" x14ac:dyDescent="0.3">
      <c r="A98" s="299" t="s">
        <v>438</v>
      </c>
    </row>
    <row r="99" spans="1:3" x14ac:dyDescent="0.3">
      <c r="A99" s="298" t="s">
        <v>429</v>
      </c>
    </row>
    <row r="100" spans="1:3" x14ac:dyDescent="0.3">
      <c r="A100" s="298"/>
    </row>
    <row r="101" spans="1:3" x14ac:dyDescent="0.3">
      <c r="A101" s="299" t="s">
        <v>439</v>
      </c>
    </row>
    <row r="102" spans="1:3" x14ac:dyDescent="0.3">
      <c r="A102" s="298" t="s">
        <v>430</v>
      </c>
      <c r="C102" s="298" t="s">
        <v>431</v>
      </c>
    </row>
    <row r="103" spans="1:3" x14ac:dyDescent="0.3">
      <c r="A103" s="298" t="s">
        <v>432</v>
      </c>
      <c r="C103" s="298" t="s">
        <v>433</v>
      </c>
    </row>
    <row r="104" spans="1:3" x14ac:dyDescent="0.3">
      <c r="A104" s="298" t="s">
        <v>434</v>
      </c>
      <c r="C104" s="298" t="s">
        <v>435</v>
      </c>
    </row>
    <row r="105" spans="1:3" x14ac:dyDescent="0.3">
      <c r="A105" s="298" t="s">
        <v>436</v>
      </c>
    </row>
  </sheetData>
  <mergeCells count="14">
    <mergeCell ref="A63:B63"/>
    <mergeCell ref="A66:B66"/>
    <mergeCell ref="A67:B67"/>
    <mergeCell ref="A68:B68"/>
    <mergeCell ref="A1:J1"/>
    <mergeCell ref="B3:D3"/>
    <mergeCell ref="E3:G3"/>
    <mergeCell ref="B49:F49"/>
    <mergeCell ref="A64:B64"/>
    <mergeCell ref="A69:B69"/>
    <mergeCell ref="A70:B70"/>
    <mergeCell ref="B77:F77"/>
    <mergeCell ref="A85:E85"/>
    <mergeCell ref="A65:B6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B708-95A4-4180-BE94-1E53F8C0CA47}">
  <dimension ref="A1:N54"/>
  <sheetViews>
    <sheetView showGridLines="0" zoomScale="130" zoomScaleNormal="130" workbookViewId="0">
      <selection activeCell="E8" sqref="E8"/>
    </sheetView>
  </sheetViews>
  <sheetFormatPr baseColWidth="10" defaultRowHeight="14.4" x14ac:dyDescent="0.3"/>
  <cols>
    <col min="2" max="2" width="17" customWidth="1"/>
    <col min="3" max="3" width="18.44140625" customWidth="1"/>
    <col min="4" max="4" width="24.5546875" customWidth="1"/>
    <col min="5" max="5" width="11.6640625" customWidth="1"/>
    <col min="6" max="6" width="11.88671875" bestFit="1" customWidth="1"/>
    <col min="7" max="7" width="21.5546875" customWidth="1"/>
    <col min="8" max="9" width="16.88671875" customWidth="1"/>
    <col min="10" max="10" width="23.109375" customWidth="1"/>
    <col min="11" max="11" width="16.88671875" customWidth="1"/>
    <col min="13" max="13" width="17.109375" customWidth="1"/>
    <col min="14" max="14" width="19.6640625" customWidth="1"/>
    <col min="16" max="16" width="14.33203125" bestFit="1" customWidth="1"/>
  </cols>
  <sheetData>
    <row r="1" spans="1:14" ht="23.4" x14ac:dyDescent="0.45">
      <c r="A1" s="313" t="s">
        <v>122</v>
      </c>
      <c r="B1" s="313"/>
      <c r="C1" s="313"/>
      <c r="D1" s="313"/>
      <c r="E1" s="313"/>
      <c r="F1" s="313"/>
      <c r="G1" s="313"/>
      <c r="H1" s="313"/>
      <c r="I1" s="313"/>
      <c r="J1" s="313"/>
    </row>
    <row r="4" spans="1:14" ht="18" x14ac:dyDescent="0.35">
      <c r="A4" s="66" t="s">
        <v>50</v>
      </c>
      <c r="B4" s="66"/>
      <c r="C4" s="66">
        <v>7200</v>
      </c>
      <c r="F4" s="1"/>
      <c r="G4" s="32" t="s">
        <v>51</v>
      </c>
      <c r="H4" s="32" t="s">
        <v>52</v>
      </c>
      <c r="I4" s="32" t="s">
        <v>53</v>
      </c>
    </row>
    <row r="5" spans="1:14" ht="18" x14ac:dyDescent="0.35">
      <c r="A5" s="66" t="s">
        <v>54</v>
      </c>
      <c r="B5" s="66"/>
      <c r="C5" s="66">
        <v>7000</v>
      </c>
      <c r="F5" s="1" t="s">
        <v>55</v>
      </c>
      <c r="G5" s="1">
        <v>8</v>
      </c>
      <c r="H5" s="67">
        <v>40</v>
      </c>
      <c r="I5" s="37">
        <f>+G5*H5</f>
        <v>320</v>
      </c>
    </row>
    <row r="6" spans="1:14" x14ac:dyDescent="0.3">
      <c r="F6" s="1" t="s">
        <v>56</v>
      </c>
      <c r="G6" s="1">
        <v>2</v>
      </c>
      <c r="H6" s="67">
        <v>15</v>
      </c>
      <c r="I6" s="37">
        <f>+G6*H6</f>
        <v>30</v>
      </c>
    </row>
    <row r="7" spans="1:14" x14ac:dyDescent="0.3">
      <c r="F7" s="1" t="s">
        <v>31</v>
      </c>
      <c r="G7" s="1">
        <v>5</v>
      </c>
      <c r="H7" s="67">
        <v>50</v>
      </c>
      <c r="I7" s="37">
        <f>+G7*H7</f>
        <v>250</v>
      </c>
    </row>
    <row r="8" spans="1:14" x14ac:dyDescent="0.3">
      <c r="F8" s="320" t="s">
        <v>57</v>
      </c>
      <c r="G8" s="321"/>
      <c r="H8" s="322"/>
      <c r="I8" s="37">
        <f>+SUM(I5:I7)</f>
        <v>600</v>
      </c>
    </row>
    <row r="9" spans="1:14" x14ac:dyDescent="0.3">
      <c r="F9" s="68"/>
      <c r="G9" s="68"/>
      <c r="H9" s="68"/>
      <c r="I9" s="69"/>
    </row>
    <row r="12" spans="1:14" x14ac:dyDescent="0.3">
      <c r="A12" s="314" t="s">
        <v>58</v>
      </c>
      <c r="B12" s="314"/>
      <c r="C12" s="314"/>
      <c r="D12" s="314"/>
      <c r="F12" s="314" t="s">
        <v>59</v>
      </c>
      <c r="G12" s="314"/>
      <c r="H12" s="314"/>
      <c r="I12" s="314"/>
      <c r="K12" s="314" t="s">
        <v>60</v>
      </c>
      <c r="L12" s="314"/>
      <c r="M12" s="314"/>
      <c r="N12" s="314"/>
    </row>
    <row r="13" spans="1:14" x14ac:dyDescent="0.3">
      <c r="A13" s="1"/>
      <c r="B13" s="32" t="s">
        <v>51</v>
      </c>
      <c r="C13" s="32" t="s">
        <v>52</v>
      </c>
      <c r="D13" s="32" t="s">
        <v>53</v>
      </c>
      <c r="F13" s="1"/>
      <c r="G13" s="32" t="s">
        <v>51</v>
      </c>
      <c r="H13" s="32" t="s">
        <v>52</v>
      </c>
      <c r="I13" s="32" t="s">
        <v>53</v>
      </c>
      <c r="K13" s="1"/>
      <c r="L13" s="32" t="s">
        <v>51</v>
      </c>
      <c r="M13" s="32" t="s">
        <v>52</v>
      </c>
      <c r="N13" s="32" t="s">
        <v>53</v>
      </c>
    </row>
    <row r="14" spans="1:14" x14ac:dyDescent="0.3">
      <c r="A14" s="1" t="s">
        <v>31</v>
      </c>
      <c r="B14" s="1">
        <f>C5*G7</f>
        <v>35000</v>
      </c>
      <c r="C14" s="67">
        <v>50</v>
      </c>
      <c r="D14" s="37">
        <f>+B14*C14</f>
        <v>1750000</v>
      </c>
      <c r="F14" s="1" t="s">
        <v>31</v>
      </c>
      <c r="G14" s="1">
        <v>37000</v>
      </c>
      <c r="H14" s="37">
        <v>51</v>
      </c>
      <c r="I14" s="37">
        <f>+G14*H14</f>
        <v>1887000</v>
      </c>
      <c r="K14" s="1" t="s">
        <v>31</v>
      </c>
      <c r="L14" s="1">
        <f>7200*G7</f>
        <v>36000</v>
      </c>
      <c r="M14" s="37">
        <f>+H7</f>
        <v>50</v>
      </c>
      <c r="N14" s="37">
        <f>+L14*M14</f>
        <v>1800000</v>
      </c>
    </row>
    <row r="15" spans="1:14" x14ac:dyDescent="0.3">
      <c r="A15" s="70" t="s">
        <v>61</v>
      </c>
      <c r="B15" s="71">
        <f>C5</f>
        <v>7000</v>
      </c>
      <c r="C15" s="72">
        <f>D15/B15</f>
        <v>250</v>
      </c>
      <c r="D15" s="5">
        <f>+SUM(D14:D14)</f>
        <v>1750000</v>
      </c>
      <c r="F15" s="70" t="s">
        <v>61</v>
      </c>
      <c r="G15" s="71">
        <f>C5</f>
        <v>7000</v>
      </c>
      <c r="H15" s="73">
        <f>I15/G15</f>
        <v>269.57142857142856</v>
      </c>
      <c r="I15" s="5">
        <f>+SUM(I14:I14)</f>
        <v>1887000</v>
      </c>
      <c r="K15" s="70" t="s">
        <v>61</v>
      </c>
      <c r="L15" s="71">
        <v>7200</v>
      </c>
      <c r="M15" s="73">
        <f>N15/L15</f>
        <v>250</v>
      </c>
      <c r="N15" s="5">
        <f>+SUM(N14:N14)</f>
        <v>1800000</v>
      </c>
    </row>
    <row r="17" spans="1:10" ht="72.599999999999994" customHeight="1" x14ac:dyDescent="0.3">
      <c r="B17" s="65" t="s">
        <v>59</v>
      </c>
      <c r="C17" s="65" t="s">
        <v>60</v>
      </c>
      <c r="D17" s="65" t="s">
        <v>62</v>
      </c>
      <c r="E17" s="3"/>
      <c r="F17" s="36"/>
    </row>
    <row r="18" spans="1:10" x14ac:dyDescent="0.3">
      <c r="A18" s="1" t="s">
        <v>31</v>
      </c>
      <c r="B18" s="2">
        <f>I14</f>
        <v>1887000</v>
      </c>
      <c r="C18" s="8">
        <f>N14</f>
        <v>1800000</v>
      </c>
      <c r="D18" s="74">
        <f t="shared" ref="D18" si="0">B18-C18</f>
        <v>87000</v>
      </c>
      <c r="E18" s="1" t="s">
        <v>63</v>
      </c>
    </row>
    <row r="20" spans="1:10" ht="88.2" customHeight="1" x14ac:dyDescent="0.3">
      <c r="A20" s="1"/>
      <c r="B20" s="65" t="s">
        <v>58</v>
      </c>
      <c r="C20" s="65" t="str">
        <f>C17</f>
        <v>COUT PREVU DE LA PRODUCTION PREVUE  - 7200 unités</v>
      </c>
      <c r="D20" s="26" t="s">
        <v>65</v>
      </c>
      <c r="E20" s="26"/>
      <c r="F20" s="36"/>
    </row>
    <row r="21" spans="1:10" x14ac:dyDescent="0.3">
      <c r="A21" s="1" t="s">
        <v>31</v>
      </c>
      <c r="B21" s="2">
        <f>D14</f>
        <v>1750000</v>
      </c>
      <c r="C21" s="8">
        <f>C18</f>
        <v>1800000</v>
      </c>
      <c r="D21" s="74">
        <f t="shared" ref="D21" si="1">B21-C21</f>
        <v>-50000</v>
      </c>
      <c r="E21" s="1" t="s">
        <v>64</v>
      </c>
    </row>
    <row r="22" spans="1:10" s="75" customFormat="1" ht="15.6" x14ac:dyDescent="0.3">
      <c r="A22" s="323" t="s">
        <v>55</v>
      </c>
      <c r="B22" s="323"/>
      <c r="C22" s="323"/>
      <c r="D22" s="323"/>
      <c r="G22" s="323" t="s">
        <v>56</v>
      </c>
      <c r="H22" s="323"/>
      <c r="I22" s="323"/>
      <c r="J22" s="323"/>
    </row>
    <row r="23" spans="1:10" s="75" customFormat="1" ht="15.6" x14ac:dyDescent="0.3">
      <c r="A23" s="76"/>
      <c r="B23" s="76"/>
      <c r="C23" s="76"/>
      <c r="D23" s="76"/>
      <c r="G23" s="76"/>
      <c r="H23" s="76"/>
      <c r="I23" s="76"/>
      <c r="J23" s="76"/>
    </row>
    <row r="24" spans="1:10" s="75" customFormat="1" ht="57.6" x14ac:dyDescent="0.3">
      <c r="A24"/>
      <c r="B24" s="65" t="str">
        <f>B17</f>
        <v>COUT REEL DE LA PRODUCTION REELLE  - 7000 unités</v>
      </c>
      <c r="C24" s="65" t="str">
        <f>B20</f>
        <v>COUT PREVU ADAPTE A LA PRODUCTION REELLE - 7000 unités</v>
      </c>
      <c r="D24" s="26" t="s">
        <v>66</v>
      </c>
      <c r="G24" s="76"/>
      <c r="H24" s="76"/>
      <c r="I24" s="76"/>
      <c r="J24" s="76"/>
    </row>
    <row r="25" spans="1:10" s="75" customFormat="1" ht="15.6" x14ac:dyDescent="0.3">
      <c r="A25" s="1" t="s">
        <v>31</v>
      </c>
      <c r="B25" s="2">
        <f>B18</f>
        <v>1887000</v>
      </c>
      <c r="C25" s="8">
        <f>B21</f>
        <v>1750000</v>
      </c>
      <c r="D25" s="74">
        <f t="shared" ref="D25" si="2">B25-C25</f>
        <v>137000</v>
      </c>
      <c r="F25" s="77" t="s">
        <v>63</v>
      </c>
      <c r="G25" s="76"/>
      <c r="H25" s="76"/>
      <c r="I25" s="76"/>
      <c r="J25" s="76"/>
    </row>
    <row r="26" spans="1:10" s="75" customFormat="1" ht="15.6" x14ac:dyDescent="0.3">
      <c r="A26" s="76"/>
      <c r="B26" s="76"/>
      <c r="C26" s="76"/>
      <c r="D26" s="76"/>
      <c r="G26" s="76"/>
      <c r="H26" s="76"/>
      <c r="I26" s="76"/>
      <c r="J26" s="76"/>
    </row>
    <row r="27" spans="1:10" s="75" customFormat="1" ht="15.6" x14ac:dyDescent="0.3">
      <c r="A27" s="76"/>
      <c r="B27" s="76"/>
      <c r="C27" s="76"/>
      <c r="D27" s="76"/>
      <c r="G27" s="76"/>
      <c r="H27" s="76"/>
      <c r="I27" s="76"/>
      <c r="J27" s="76"/>
    </row>
    <row r="28" spans="1:10" s="75" customFormat="1" ht="15.6" x14ac:dyDescent="0.3">
      <c r="A28" s="323" t="s">
        <v>31</v>
      </c>
      <c r="B28" s="323"/>
      <c r="C28" s="323"/>
      <c r="D28" s="323"/>
      <c r="E28"/>
      <c r="F28"/>
      <c r="G28"/>
      <c r="H28" s="76"/>
      <c r="I28" s="76"/>
      <c r="J28" s="76"/>
    </row>
    <row r="29" spans="1:10" s="75" customFormat="1" ht="15.6" x14ac:dyDescent="0.3">
      <c r="A29"/>
      <c r="B29"/>
      <c r="C29"/>
      <c r="D29"/>
      <c r="E29"/>
      <c r="F29"/>
      <c r="G29"/>
      <c r="H29" s="76"/>
      <c r="I29" s="76"/>
      <c r="J29" s="76"/>
    </row>
    <row r="30" spans="1:10" s="75" customFormat="1" ht="15.6" x14ac:dyDescent="0.3">
      <c r="A30"/>
      <c r="B30"/>
      <c r="C30"/>
      <c r="D30"/>
      <c r="E30"/>
      <c r="F30"/>
      <c r="G30"/>
      <c r="H30" s="76"/>
      <c r="I30" s="76"/>
      <c r="J30" s="76"/>
    </row>
    <row r="31" spans="1:10" s="75" customFormat="1" ht="15.6" x14ac:dyDescent="0.3">
      <c r="A31" s="327" t="s">
        <v>31</v>
      </c>
      <c r="B31" s="327"/>
      <c r="C31" s="327"/>
      <c r="D31" s="327"/>
      <c r="E31"/>
      <c r="F31"/>
      <c r="G31"/>
      <c r="H31" s="76"/>
      <c r="I31" s="76"/>
      <c r="J31" s="76"/>
    </row>
    <row r="32" spans="1:10" s="75" customFormat="1" ht="15.6" x14ac:dyDescent="0.3">
      <c r="A32" s="320" t="s">
        <v>71</v>
      </c>
      <c r="B32" s="321"/>
      <c r="C32" s="322"/>
      <c r="D32" s="2">
        <f>(G14-B14)*C14</f>
        <v>100000</v>
      </c>
      <c r="E32" t="s">
        <v>72</v>
      </c>
      <c r="F32"/>
      <c r="G32"/>
      <c r="H32" s="76"/>
      <c r="I32" s="76"/>
      <c r="J32" s="76"/>
    </row>
    <row r="33" spans="1:10" s="75" customFormat="1" ht="15.6" x14ac:dyDescent="0.3">
      <c r="A33" s="320" t="s">
        <v>74</v>
      </c>
      <c r="B33" s="321"/>
      <c r="C33" s="322"/>
      <c r="D33" s="2">
        <f>(H14-C14)*G14</f>
        <v>37000</v>
      </c>
      <c r="E33" t="s">
        <v>72</v>
      </c>
      <c r="F33"/>
      <c r="G33"/>
      <c r="H33" s="76"/>
      <c r="I33" s="76"/>
      <c r="J33" s="76"/>
    </row>
    <row r="34" spans="1:10" s="75" customFormat="1" ht="15.6" x14ac:dyDescent="0.3">
      <c r="A34"/>
      <c r="B34"/>
      <c r="C34"/>
      <c r="D34"/>
      <c r="E34"/>
      <c r="F34"/>
      <c r="G34"/>
      <c r="H34" s="76"/>
      <c r="I34" s="76"/>
      <c r="J34" s="76"/>
    </row>
    <row r="35" spans="1:10" s="75" customFormat="1" ht="15.6" x14ac:dyDescent="0.3">
      <c r="A35"/>
      <c r="B35"/>
      <c r="C35"/>
      <c r="D35"/>
      <c r="E35"/>
      <c r="F35"/>
      <c r="G35"/>
      <c r="H35" s="76"/>
      <c r="I35" s="76"/>
      <c r="J35" s="76"/>
    </row>
    <row r="36" spans="1:10" s="75" customFormat="1" ht="15.6" x14ac:dyDescent="0.3">
      <c r="A36"/>
      <c r="B36"/>
      <c r="C36"/>
      <c r="D36"/>
      <c r="E36"/>
      <c r="F36"/>
      <c r="G36"/>
      <c r="H36" s="76"/>
      <c r="I36" s="76"/>
      <c r="J36" s="76"/>
    </row>
    <row r="37" spans="1:10" s="75" customFormat="1" ht="15.6" x14ac:dyDescent="0.3">
      <c r="A37" s="76"/>
      <c r="B37" s="76"/>
      <c r="C37" s="76"/>
      <c r="D37" s="76"/>
      <c r="G37" s="76"/>
      <c r="H37" s="76"/>
      <c r="I37" s="76"/>
      <c r="J37" s="76"/>
    </row>
    <row r="38" spans="1:10" s="75" customFormat="1" ht="15.6" x14ac:dyDescent="0.3">
      <c r="A38" s="76"/>
      <c r="B38" s="76"/>
      <c r="C38" s="76"/>
      <c r="D38" s="76"/>
      <c r="G38" s="76"/>
      <c r="H38" s="76"/>
      <c r="I38" s="76"/>
      <c r="J38" s="76"/>
    </row>
    <row r="39" spans="1:10" s="75" customFormat="1" ht="15.6" x14ac:dyDescent="0.3">
      <c r="A39" s="76"/>
      <c r="B39" s="76"/>
      <c r="C39" s="76"/>
      <c r="D39" s="76"/>
      <c r="G39" s="76"/>
      <c r="H39" s="76"/>
      <c r="I39" s="76"/>
      <c r="J39" s="76"/>
    </row>
    <row r="40" spans="1:10" s="75" customFormat="1" ht="15.6" x14ac:dyDescent="0.3">
      <c r="A40" s="76"/>
      <c r="B40" s="76"/>
      <c r="C40" s="76"/>
      <c r="D40" s="76"/>
      <c r="G40" s="76"/>
      <c r="H40" s="76"/>
      <c r="I40" s="76"/>
      <c r="J40" s="76"/>
    </row>
    <row r="42" spans="1:10" ht="15.6" x14ac:dyDescent="0.3">
      <c r="A42" s="327" t="str">
        <f>A22</f>
        <v>Mat A</v>
      </c>
      <c r="B42" s="327"/>
      <c r="C42" s="327"/>
      <c r="D42" s="327"/>
      <c r="G42" s="328" t="str">
        <f>G22</f>
        <v>Mat B</v>
      </c>
      <c r="H42" s="328"/>
      <c r="I42" s="328"/>
      <c r="J42" s="328"/>
    </row>
    <row r="43" spans="1:10" x14ac:dyDescent="0.3">
      <c r="A43" s="320" t="s">
        <v>67</v>
      </c>
      <c r="B43" s="321"/>
      <c r="C43" s="322"/>
      <c r="D43" s="2">
        <f>61000*42</f>
        <v>2562000</v>
      </c>
      <c r="G43" s="320" t="s">
        <v>67</v>
      </c>
      <c r="H43" s="321"/>
      <c r="I43" s="322"/>
      <c r="J43" s="2">
        <f>14*12000</f>
        <v>168000</v>
      </c>
    </row>
    <row r="44" spans="1:10" x14ac:dyDescent="0.3">
      <c r="A44" s="320" t="s">
        <v>68</v>
      </c>
      <c r="B44" s="321"/>
      <c r="C44" s="322"/>
      <c r="D44" s="2">
        <f>I5*C5</f>
        <v>2240000</v>
      </c>
      <c r="G44" s="320" t="s">
        <v>68</v>
      </c>
      <c r="H44" s="321"/>
      <c r="I44" s="322"/>
      <c r="J44" s="2">
        <f>I6*C5</f>
        <v>210000</v>
      </c>
    </row>
    <row r="45" spans="1:10" x14ac:dyDescent="0.3">
      <c r="A45" s="324" t="s">
        <v>69</v>
      </c>
      <c r="B45" s="325"/>
      <c r="C45" s="326"/>
      <c r="D45" s="4">
        <f>D43-D44</f>
        <v>322000</v>
      </c>
      <c r="G45" s="324" t="s">
        <v>70</v>
      </c>
      <c r="H45" s="325"/>
      <c r="I45" s="326"/>
      <c r="J45" s="4">
        <f>J43-J44</f>
        <v>-42000</v>
      </c>
    </row>
    <row r="48" spans="1:10" ht="15.6" x14ac:dyDescent="0.3">
      <c r="A48" s="327" t="str">
        <f>A42</f>
        <v>Mat A</v>
      </c>
      <c r="B48" s="327"/>
      <c r="C48" s="327"/>
      <c r="D48" s="327"/>
      <c r="G48" s="328" t="str">
        <f>G22</f>
        <v>Mat B</v>
      </c>
      <c r="H48" s="328"/>
      <c r="I48" s="328"/>
      <c r="J48" s="328"/>
    </row>
    <row r="49" spans="1:11" x14ac:dyDescent="0.3">
      <c r="A49" s="320" t="s">
        <v>71</v>
      </c>
      <c r="B49" s="321"/>
      <c r="C49" s="322"/>
      <c r="D49" s="2">
        <f>(61000-56000)*40</f>
        <v>200000</v>
      </c>
      <c r="E49" t="s">
        <v>72</v>
      </c>
      <c r="G49" s="320" t="s">
        <v>71</v>
      </c>
      <c r="H49" s="321"/>
      <c r="I49" s="322"/>
      <c r="J49" s="2">
        <f>(12000-14000)*15</f>
        <v>-30000</v>
      </c>
      <c r="K49" t="s">
        <v>73</v>
      </c>
    </row>
    <row r="50" spans="1:11" x14ac:dyDescent="0.3">
      <c r="A50" s="320" t="s">
        <v>74</v>
      </c>
      <c r="B50" s="321"/>
      <c r="C50" s="322"/>
      <c r="D50" s="2">
        <f>(42-40)*61000</f>
        <v>122000</v>
      </c>
      <c r="E50" t="s">
        <v>72</v>
      </c>
      <c r="G50" s="320" t="s">
        <v>74</v>
      </c>
      <c r="H50" s="321"/>
      <c r="I50" s="322"/>
      <c r="J50" s="2">
        <f>(14-15)*12000</f>
        <v>-12000</v>
      </c>
      <c r="K50" t="s">
        <v>73</v>
      </c>
    </row>
    <row r="54" spans="1:11" ht="15.6" x14ac:dyDescent="0.3">
      <c r="A54" s="323" t="s">
        <v>31</v>
      </c>
      <c r="B54" s="323"/>
      <c r="C54" s="323"/>
      <c r="D54" s="323"/>
    </row>
  </sheetData>
  <mergeCells count="26">
    <mergeCell ref="K12:N12"/>
    <mergeCell ref="A33:C33"/>
    <mergeCell ref="G50:I50"/>
    <mergeCell ref="G49:I49"/>
    <mergeCell ref="A28:D28"/>
    <mergeCell ref="A31:D31"/>
    <mergeCell ref="A32:C32"/>
    <mergeCell ref="G48:J48"/>
    <mergeCell ref="G45:I45"/>
    <mergeCell ref="A22:D22"/>
    <mergeCell ref="G22:J22"/>
    <mergeCell ref="A1:J1"/>
    <mergeCell ref="F8:H8"/>
    <mergeCell ref="A12:D12"/>
    <mergeCell ref="F12:I12"/>
    <mergeCell ref="A54:D54"/>
    <mergeCell ref="A45:C45"/>
    <mergeCell ref="A48:D48"/>
    <mergeCell ref="A49:C49"/>
    <mergeCell ref="A42:D42"/>
    <mergeCell ref="A43:C43"/>
    <mergeCell ref="A44:C44"/>
    <mergeCell ref="G44:I44"/>
    <mergeCell ref="G43:I43"/>
    <mergeCell ref="G42:J42"/>
    <mergeCell ref="A50:C5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77D8-D99F-4EFE-8935-8B3230C32A32}">
  <dimension ref="A1:H57"/>
  <sheetViews>
    <sheetView showGridLines="0" workbookViewId="0">
      <selection activeCell="G8" sqref="G8"/>
    </sheetView>
  </sheetViews>
  <sheetFormatPr baseColWidth="10" defaultRowHeight="14.4" x14ac:dyDescent="0.3"/>
  <cols>
    <col min="1" max="1" width="19.6640625" customWidth="1"/>
    <col min="2" max="2" width="21.6640625" customWidth="1"/>
    <col min="3" max="3" width="16.44140625" bestFit="1" customWidth="1"/>
    <col min="5" max="5" width="14.88671875" customWidth="1"/>
    <col min="6" max="6" width="15.109375" bestFit="1" customWidth="1"/>
    <col min="7" max="7" width="13.109375" customWidth="1"/>
    <col min="8" max="8" width="14.44140625" bestFit="1" customWidth="1"/>
  </cols>
  <sheetData>
    <row r="1" spans="1:8" x14ac:dyDescent="0.3">
      <c r="A1" s="329" t="s">
        <v>165</v>
      </c>
      <c r="B1" s="329"/>
      <c r="C1" s="329"/>
      <c r="D1" s="329"/>
      <c r="E1" s="329"/>
      <c r="F1" s="329"/>
      <c r="G1" s="329"/>
    </row>
    <row r="5" spans="1:8" x14ac:dyDescent="0.3">
      <c r="A5" t="s">
        <v>76</v>
      </c>
      <c r="C5">
        <v>10000</v>
      </c>
    </row>
    <row r="6" spans="1:8" x14ac:dyDescent="0.3">
      <c r="A6" t="s">
        <v>77</v>
      </c>
      <c r="C6">
        <v>12000</v>
      </c>
    </row>
    <row r="8" spans="1:8" x14ac:dyDescent="0.3">
      <c r="A8" s="320" t="s">
        <v>78</v>
      </c>
      <c r="B8" s="322"/>
      <c r="C8" s="1">
        <v>12</v>
      </c>
    </row>
    <row r="9" spans="1:8" x14ac:dyDescent="0.3">
      <c r="A9" s="320" t="s">
        <v>79</v>
      </c>
      <c r="B9" s="322"/>
      <c r="C9" s="37">
        <v>60</v>
      </c>
    </row>
    <row r="10" spans="1:8" x14ac:dyDescent="0.3">
      <c r="A10" s="320" t="s">
        <v>80</v>
      </c>
      <c r="B10" s="322"/>
      <c r="C10" s="37">
        <v>51.5</v>
      </c>
      <c r="F10" s="330" t="s">
        <v>81</v>
      </c>
      <c r="G10" s="330"/>
      <c r="H10" s="330"/>
    </row>
    <row r="11" spans="1:8" x14ac:dyDescent="0.3">
      <c r="A11" s="320" t="s">
        <v>82</v>
      </c>
      <c r="B11" s="322"/>
      <c r="C11" s="78">
        <v>1020000</v>
      </c>
      <c r="D11" s="79"/>
      <c r="F11" s="80" t="s">
        <v>83</v>
      </c>
      <c r="G11" s="1">
        <v>120000</v>
      </c>
      <c r="H11" s="81">
        <v>145000</v>
      </c>
    </row>
    <row r="12" spans="1:8" x14ac:dyDescent="0.3">
      <c r="F12" s="80" t="s">
        <v>37</v>
      </c>
      <c r="G12" s="82">
        <f>G14-G13</f>
        <v>1020000</v>
      </c>
      <c r="H12" s="83">
        <f>G12</f>
        <v>1020000</v>
      </c>
    </row>
    <row r="13" spans="1:8" x14ac:dyDescent="0.3">
      <c r="A13" t="s">
        <v>84</v>
      </c>
      <c r="C13">
        <v>145000</v>
      </c>
      <c r="F13" s="80" t="s">
        <v>85</v>
      </c>
      <c r="G13" s="78">
        <f>51.5*G11</f>
        <v>6180000</v>
      </c>
      <c r="H13" s="84">
        <f>51.5*H11</f>
        <v>7467500</v>
      </c>
    </row>
    <row r="14" spans="1:8" x14ac:dyDescent="0.3">
      <c r="A14" s="36" t="s">
        <v>86</v>
      </c>
      <c r="B14" s="36"/>
      <c r="C14" s="85">
        <v>10500000</v>
      </c>
      <c r="F14" s="80" t="s">
        <v>87</v>
      </c>
      <c r="G14" s="78">
        <f>G11*G15</f>
        <v>7200000</v>
      </c>
      <c r="H14" s="86">
        <f>SUM(H12:H13)</f>
        <v>8487500</v>
      </c>
    </row>
    <row r="15" spans="1:8" x14ac:dyDescent="0.3">
      <c r="F15" s="87" t="s">
        <v>88</v>
      </c>
      <c r="G15" s="78">
        <v>60</v>
      </c>
    </row>
    <row r="17" spans="1:8" x14ac:dyDescent="0.3">
      <c r="A17" t="s">
        <v>89</v>
      </c>
      <c r="C17">
        <f>12*12000</f>
        <v>144000</v>
      </c>
    </row>
    <row r="18" spans="1:8" x14ac:dyDescent="0.3">
      <c r="A18" t="s">
        <v>90</v>
      </c>
      <c r="C18" s="88">
        <f>C17*60</f>
        <v>8640000</v>
      </c>
    </row>
    <row r="19" spans="1:8" x14ac:dyDescent="0.3">
      <c r="H19" s="79"/>
    </row>
    <row r="20" spans="1:8" x14ac:dyDescent="0.3">
      <c r="A20" s="89" t="s">
        <v>62</v>
      </c>
      <c r="B20" s="90">
        <f>C14-(C5*C9*C8)</f>
        <v>3300000</v>
      </c>
      <c r="C20" s="89" t="s">
        <v>72</v>
      </c>
      <c r="D20" s="23" t="s">
        <v>91</v>
      </c>
      <c r="H20" s="91">
        <f>10500000</f>
        <v>10500000</v>
      </c>
    </row>
    <row r="21" spans="1:8" x14ac:dyDescent="0.3">
      <c r="A21" s="1" t="s">
        <v>92</v>
      </c>
      <c r="B21" s="82">
        <f>(C6*C8-(C5*C8))*C9</f>
        <v>1440000</v>
      </c>
      <c r="C21" s="1" t="s">
        <v>72</v>
      </c>
      <c r="D21" s="23" t="s">
        <v>93</v>
      </c>
      <c r="H21" s="91">
        <f>H12</f>
        <v>1020000</v>
      </c>
    </row>
    <row r="22" spans="1:8" x14ac:dyDescent="0.3">
      <c r="A22" s="21" t="s">
        <v>66</v>
      </c>
      <c r="B22" s="92">
        <f>C14-(144000*60)</f>
        <v>1860000</v>
      </c>
      <c r="C22" s="21" t="s">
        <v>72</v>
      </c>
      <c r="D22" s="93" t="s">
        <v>94</v>
      </c>
      <c r="E22" s="94"/>
      <c r="H22" s="91">
        <f>H20-H21</f>
        <v>9480000</v>
      </c>
    </row>
    <row r="23" spans="1:8" x14ac:dyDescent="0.3">
      <c r="A23" s="75"/>
      <c r="B23" s="75"/>
      <c r="C23" s="75"/>
      <c r="D23" s="75"/>
      <c r="E23" s="75"/>
      <c r="F23" s="75"/>
      <c r="G23" s="75"/>
      <c r="H23" s="75">
        <v>145000</v>
      </c>
    </row>
    <row r="24" spans="1:8" x14ac:dyDescent="0.3">
      <c r="A24" s="49" t="s">
        <v>95</v>
      </c>
      <c r="B24" s="95">
        <f>(C14-H14)</f>
        <v>2012500</v>
      </c>
      <c r="C24" s="49" t="s">
        <v>72</v>
      </c>
      <c r="D24" s="96" t="s">
        <v>96</v>
      </c>
      <c r="E24" s="75"/>
      <c r="F24" s="75"/>
      <c r="G24" s="75"/>
      <c r="H24" s="91">
        <f>H22/H23</f>
        <v>65.379310344827587</v>
      </c>
    </row>
    <row r="25" spans="1:8" x14ac:dyDescent="0.3">
      <c r="A25" s="49" t="s">
        <v>97</v>
      </c>
      <c r="B25" s="97">
        <f>(H14-(H11*C9))</f>
        <v>-212500</v>
      </c>
      <c r="C25" s="49" t="s">
        <v>73</v>
      </c>
      <c r="D25" s="96" t="s">
        <v>98</v>
      </c>
      <c r="E25" s="75"/>
      <c r="F25" s="98" t="s">
        <v>99</v>
      </c>
      <c r="G25" s="99"/>
      <c r="H25" s="75"/>
    </row>
    <row r="26" spans="1:8" x14ac:dyDescent="0.3">
      <c r="A26" s="49" t="s">
        <v>100</v>
      </c>
      <c r="B26" s="95">
        <f>(C13-12000*12)*C9</f>
        <v>60000</v>
      </c>
      <c r="C26" s="49" t="s">
        <v>72</v>
      </c>
      <c r="D26" s="96" t="s">
        <v>101</v>
      </c>
      <c r="E26" s="75"/>
      <c r="F26" s="75"/>
      <c r="G26" s="75"/>
      <c r="H26" s="75"/>
    </row>
    <row r="27" spans="1:8" x14ac:dyDescent="0.3">
      <c r="A27" s="75" t="s">
        <v>102</v>
      </c>
      <c r="B27" s="91">
        <f>SUM(B24:B26)</f>
        <v>1860000</v>
      </c>
      <c r="C27" s="75"/>
      <c r="D27" s="75"/>
      <c r="E27" s="75"/>
      <c r="F27" s="75"/>
      <c r="G27" s="75"/>
      <c r="H27" s="75"/>
    </row>
    <row r="28" spans="1:8" x14ac:dyDescent="0.3">
      <c r="A28" s="75"/>
      <c r="B28" s="75"/>
      <c r="C28" s="75"/>
      <c r="D28" s="75"/>
      <c r="E28" s="75"/>
      <c r="F28" s="75"/>
      <c r="G28" s="75"/>
      <c r="H28" s="75"/>
    </row>
    <row r="57" spans="1:1" x14ac:dyDescent="0.3">
      <c r="A57" t="s">
        <v>103</v>
      </c>
    </row>
  </sheetData>
  <mergeCells count="6">
    <mergeCell ref="A11:B11"/>
    <mergeCell ref="A1:G1"/>
    <mergeCell ref="A8:B8"/>
    <mergeCell ref="A9:B9"/>
    <mergeCell ref="A10:B10"/>
    <mergeCell ref="F10:H1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F280-03A2-4E80-9FAA-4E64588715A3}">
  <dimension ref="A1:I34"/>
  <sheetViews>
    <sheetView showGridLines="0" zoomScale="130" zoomScaleNormal="130" workbookViewId="0">
      <selection activeCell="F5" sqref="F5"/>
    </sheetView>
  </sheetViews>
  <sheetFormatPr baseColWidth="10" defaultRowHeight="14.4" x14ac:dyDescent="0.3"/>
  <cols>
    <col min="1" max="1" width="19.33203125" customWidth="1"/>
    <col min="2" max="2" width="22.5546875" customWidth="1"/>
    <col min="3" max="3" width="14.44140625" bestFit="1" customWidth="1"/>
    <col min="4" max="4" width="12.88671875" bestFit="1" customWidth="1"/>
    <col min="7" max="7" width="23.6640625" bestFit="1" customWidth="1"/>
    <col min="8" max="8" width="15.6640625" bestFit="1" customWidth="1"/>
    <col min="9" max="9" width="17" bestFit="1" customWidth="1"/>
  </cols>
  <sheetData>
    <row r="1" spans="1:9" x14ac:dyDescent="0.3">
      <c r="A1" s="329" t="s">
        <v>193</v>
      </c>
      <c r="B1" s="329"/>
      <c r="C1" s="329"/>
      <c r="D1" s="329"/>
      <c r="E1" s="329"/>
      <c r="F1" s="329"/>
      <c r="G1" s="329"/>
    </row>
    <row r="3" spans="1:9" x14ac:dyDescent="0.3">
      <c r="A3" s="1"/>
      <c r="B3" s="32" t="s">
        <v>2</v>
      </c>
      <c r="C3" s="32" t="s">
        <v>1</v>
      </c>
      <c r="D3" s="32" t="s">
        <v>0</v>
      </c>
    </row>
    <row r="4" spans="1:9" x14ac:dyDescent="0.3">
      <c r="A4" s="1" t="s">
        <v>105</v>
      </c>
      <c r="B4" s="1">
        <v>18</v>
      </c>
      <c r="C4" s="37">
        <v>20</v>
      </c>
      <c r="D4" s="37">
        <f>B4*C4</f>
        <v>360</v>
      </c>
    </row>
    <row r="5" spans="1:9" x14ac:dyDescent="0.3">
      <c r="A5" s="1" t="s">
        <v>106</v>
      </c>
      <c r="B5" s="1">
        <v>1</v>
      </c>
      <c r="C5" s="37">
        <v>185</v>
      </c>
      <c r="D5" s="37">
        <f t="shared" ref="D5:D7" si="0">B5*C5</f>
        <v>185</v>
      </c>
    </row>
    <row r="6" spans="1:9" x14ac:dyDescent="0.3">
      <c r="A6" s="100" t="s">
        <v>31</v>
      </c>
      <c r="B6" s="100">
        <v>2.25</v>
      </c>
      <c r="C6" s="101">
        <v>29</v>
      </c>
      <c r="D6" s="101">
        <f t="shared" si="0"/>
        <v>65.25</v>
      </c>
    </row>
    <row r="7" spans="1:9" x14ac:dyDescent="0.3">
      <c r="A7" s="1" t="s">
        <v>107</v>
      </c>
      <c r="B7" s="1">
        <v>4</v>
      </c>
      <c r="C7" s="37">
        <v>230</v>
      </c>
      <c r="D7" s="37">
        <f t="shared" si="0"/>
        <v>920</v>
      </c>
    </row>
    <row r="8" spans="1:9" x14ac:dyDescent="0.3">
      <c r="A8" s="317" t="s">
        <v>108</v>
      </c>
      <c r="B8" s="317"/>
      <c r="C8" s="317"/>
      <c r="D8" s="67">
        <f>SUM(D4:D7)</f>
        <v>1530.25</v>
      </c>
    </row>
    <row r="10" spans="1:9" ht="15.6" x14ac:dyDescent="0.3">
      <c r="A10" s="327" t="s">
        <v>31</v>
      </c>
      <c r="B10" s="327"/>
      <c r="C10" s="327"/>
      <c r="D10" s="327"/>
    </row>
    <row r="11" spans="1:9" x14ac:dyDescent="0.3">
      <c r="A11" s="320" t="s">
        <v>109</v>
      </c>
      <c r="B11" s="321"/>
      <c r="C11" s="322"/>
      <c r="D11" s="2">
        <f>249375</f>
        <v>249375</v>
      </c>
    </row>
    <row r="12" spans="1:9" x14ac:dyDescent="0.3">
      <c r="A12" s="320" t="s">
        <v>110</v>
      </c>
      <c r="B12" s="321"/>
      <c r="C12" s="322"/>
      <c r="D12" s="2">
        <f>3850*D6</f>
        <v>251212.5</v>
      </c>
    </row>
    <row r="13" spans="1:9" x14ac:dyDescent="0.3">
      <c r="A13" s="324" t="s">
        <v>111</v>
      </c>
      <c r="B13" s="325"/>
      <c r="C13" s="326"/>
      <c r="D13" s="4">
        <f>D11-D12</f>
        <v>-1837.5</v>
      </c>
    </row>
    <row r="14" spans="1:9" x14ac:dyDescent="0.3">
      <c r="A14" s="273"/>
      <c r="B14" s="273"/>
      <c r="C14" s="273"/>
      <c r="D14" s="268"/>
    </row>
    <row r="15" spans="1:9" x14ac:dyDescent="0.3">
      <c r="A15" s="273"/>
      <c r="B15" s="273"/>
      <c r="C15" s="273"/>
      <c r="D15" s="268"/>
    </row>
    <row r="16" spans="1:9" x14ac:dyDescent="0.3">
      <c r="H16">
        <f>8750-(3850*2.25)</f>
        <v>87.5</v>
      </c>
      <c r="I16" t="s">
        <v>112</v>
      </c>
    </row>
    <row r="17" spans="1:9" ht="15.6" x14ac:dyDescent="0.3">
      <c r="A17" s="327" t="s">
        <v>31</v>
      </c>
      <c r="B17" s="327"/>
      <c r="C17" s="327"/>
      <c r="D17" s="327"/>
    </row>
    <row r="18" spans="1:9" x14ac:dyDescent="0.3">
      <c r="A18" s="320" t="s">
        <v>71</v>
      </c>
      <c r="B18" s="321"/>
      <c r="C18" s="322"/>
      <c r="D18" s="2">
        <f>(8750-(2.25*3850))*29</f>
        <v>2537.5</v>
      </c>
      <c r="E18" t="s">
        <v>72</v>
      </c>
    </row>
    <row r="19" spans="1:9" x14ac:dyDescent="0.3">
      <c r="A19" s="320" t="s">
        <v>74</v>
      </c>
      <c r="B19" s="321"/>
      <c r="C19" s="322"/>
      <c r="D19" s="2">
        <f>(28.5-29)*8750</f>
        <v>-4375</v>
      </c>
      <c r="E19" t="s">
        <v>73</v>
      </c>
    </row>
    <row r="20" spans="1:9" x14ac:dyDescent="0.3">
      <c r="A20" s="317" t="s">
        <v>61</v>
      </c>
      <c r="B20" s="317"/>
      <c r="C20" s="317"/>
      <c r="D20" s="2">
        <f>SUM(D18:D19)</f>
        <v>-1837.5</v>
      </c>
      <c r="E20" t="str">
        <f>E19</f>
        <v>Favorable</v>
      </c>
    </row>
    <row r="23" spans="1:9" x14ac:dyDescent="0.3">
      <c r="G23" s="102" t="s">
        <v>81</v>
      </c>
      <c r="H23" s="103" t="s">
        <v>113</v>
      </c>
      <c r="I23" t="s">
        <v>114</v>
      </c>
    </row>
    <row r="24" spans="1:9" x14ac:dyDescent="0.3">
      <c r="A24" t="s">
        <v>115</v>
      </c>
      <c r="C24">
        <f>4*3850</f>
        <v>15400</v>
      </c>
      <c r="G24" s="49" t="s">
        <v>83</v>
      </c>
      <c r="H24" s="49">
        <v>16000</v>
      </c>
      <c r="I24" s="104">
        <v>15500</v>
      </c>
    </row>
    <row r="25" spans="1:9" ht="29.4" customHeight="1" x14ac:dyDescent="0.3">
      <c r="A25" s="331" t="s">
        <v>116</v>
      </c>
      <c r="B25" s="331"/>
      <c r="C25" s="88">
        <f>C24*230</f>
        <v>3542000</v>
      </c>
      <c r="G25" s="49" t="s">
        <v>37</v>
      </c>
      <c r="H25" s="95">
        <f>30*16000</f>
        <v>480000</v>
      </c>
      <c r="I25" s="105">
        <v>480000</v>
      </c>
    </row>
    <row r="26" spans="1:9" x14ac:dyDescent="0.3">
      <c r="G26" s="49" t="s">
        <v>85</v>
      </c>
      <c r="H26" s="97">
        <f>200*16000</f>
        <v>3200000</v>
      </c>
      <c r="I26" s="106">
        <f>15500*200</f>
        <v>3100000</v>
      </c>
    </row>
    <row r="27" spans="1:9" x14ac:dyDescent="0.3">
      <c r="A27" s="107" t="s">
        <v>62</v>
      </c>
      <c r="B27" s="108">
        <f>3534000-(4*4000*230)</f>
        <v>-146000</v>
      </c>
      <c r="C27" s="107" t="s">
        <v>73</v>
      </c>
      <c r="D27" s="23"/>
      <c r="G27" s="49" t="s">
        <v>87</v>
      </c>
      <c r="H27" s="97">
        <f>H25+H26</f>
        <v>3680000</v>
      </c>
      <c r="I27" s="109">
        <f>I25+I26</f>
        <v>3580000</v>
      </c>
    </row>
    <row r="28" spans="1:9" x14ac:dyDescent="0.3">
      <c r="A28" s="107" t="s">
        <v>92</v>
      </c>
      <c r="B28" s="108">
        <f>(3850*4-4*4000)*230</f>
        <v>-138000</v>
      </c>
      <c r="C28" s="107" t="s">
        <v>73</v>
      </c>
      <c r="D28" s="23"/>
      <c r="G28" s="49" t="s">
        <v>88</v>
      </c>
      <c r="H28" s="82">
        <f>H27/H24</f>
        <v>230</v>
      </c>
      <c r="I28" s="77"/>
    </row>
    <row r="29" spans="1:9" x14ac:dyDescent="0.3">
      <c r="A29" s="21" t="s">
        <v>66</v>
      </c>
      <c r="B29" s="92">
        <f>3534000-(C24*230)</f>
        <v>-8000</v>
      </c>
      <c r="C29" s="21" t="s">
        <v>73</v>
      </c>
      <c r="D29" s="93" t="s">
        <v>117</v>
      </c>
      <c r="E29" s="94"/>
    </row>
    <row r="31" spans="1:9" x14ac:dyDescent="0.3">
      <c r="A31" s="49" t="s">
        <v>95</v>
      </c>
      <c r="B31" s="95">
        <f>3534000-3580000</f>
        <v>-46000</v>
      </c>
      <c r="C31" s="49" t="s">
        <v>73</v>
      </c>
      <c r="D31" s="96" t="s">
        <v>118</v>
      </c>
      <c r="E31" s="75"/>
      <c r="F31" s="75"/>
      <c r="G31" s="75"/>
    </row>
    <row r="32" spans="1:9" x14ac:dyDescent="0.3">
      <c r="A32" s="49" t="s">
        <v>97</v>
      </c>
      <c r="B32" s="97">
        <f>(16000-15500)*30</f>
        <v>15000</v>
      </c>
      <c r="C32" s="49" t="s">
        <v>72</v>
      </c>
      <c r="D32" s="96" t="s">
        <v>119</v>
      </c>
      <c r="E32" s="75"/>
      <c r="F32" s="96" t="s">
        <v>120</v>
      </c>
      <c r="G32" s="75"/>
    </row>
    <row r="33" spans="1:7" x14ac:dyDescent="0.3">
      <c r="A33" s="49" t="s">
        <v>100</v>
      </c>
      <c r="B33" s="95">
        <f>(15500-15400)*230</f>
        <v>23000</v>
      </c>
      <c r="C33" s="49" t="s">
        <v>72</v>
      </c>
      <c r="D33" s="96" t="s">
        <v>121</v>
      </c>
      <c r="E33" s="75"/>
      <c r="F33" s="75"/>
      <c r="G33" s="75"/>
    </row>
    <row r="34" spans="1:7" x14ac:dyDescent="0.3">
      <c r="A34" s="49" t="s">
        <v>102</v>
      </c>
      <c r="B34" s="95">
        <f>SUM(B31:B33)</f>
        <v>-8000</v>
      </c>
      <c r="C34" s="75"/>
      <c r="D34" s="75"/>
      <c r="E34" s="75"/>
      <c r="F34" s="75"/>
      <c r="G34" s="75"/>
    </row>
  </sheetData>
  <mergeCells count="11">
    <mergeCell ref="A18:C18"/>
    <mergeCell ref="A19:C19"/>
    <mergeCell ref="A20:C20"/>
    <mergeCell ref="A25:B25"/>
    <mergeCell ref="A1:G1"/>
    <mergeCell ref="A8:C8"/>
    <mergeCell ref="A10:D10"/>
    <mergeCell ref="A11:C11"/>
    <mergeCell ref="A12:C12"/>
    <mergeCell ref="A13:C13"/>
    <mergeCell ref="A17:D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FEC6-680E-48A5-A3E5-FEAC224C1459}">
  <dimension ref="A3:I42"/>
  <sheetViews>
    <sheetView showGridLines="0" workbookViewId="0">
      <selection activeCell="H16" sqref="H16"/>
    </sheetView>
  </sheetViews>
  <sheetFormatPr baseColWidth="10" defaultRowHeight="14.4" x14ac:dyDescent="0.3"/>
  <cols>
    <col min="1" max="1" width="27.77734375" customWidth="1"/>
    <col min="3" max="3" width="11.6640625" bestFit="1" customWidth="1"/>
    <col min="4" max="4" width="12.88671875" bestFit="1" customWidth="1"/>
    <col min="5" max="5" width="16.109375" customWidth="1"/>
    <col min="6" max="6" width="11.6640625" bestFit="1" customWidth="1"/>
    <col min="7" max="7" width="12.88671875" bestFit="1" customWidth="1"/>
  </cols>
  <sheetData>
    <row r="3" spans="1:4" x14ac:dyDescent="0.3">
      <c r="A3" s="1"/>
      <c r="B3" s="295" t="s">
        <v>2</v>
      </c>
      <c r="C3" s="295" t="s">
        <v>1</v>
      </c>
      <c r="D3" s="295" t="s">
        <v>0</v>
      </c>
    </row>
    <row r="4" spans="1:4" x14ac:dyDescent="0.3">
      <c r="A4" s="1" t="s">
        <v>440</v>
      </c>
      <c r="B4" s="1">
        <v>4</v>
      </c>
      <c r="C4" s="37">
        <v>30</v>
      </c>
      <c r="D4" s="37">
        <f>B4*C4</f>
        <v>120</v>
      </c>
    </row>
    <row r="5" spans="1:4" x14ac:dyDescent="0.3">
      <c r="A5" s="1" t="s">
        <v>441</v>
      </c>
      <c r="B5" s="1">
        <v>8</v>
      </c>
      <c r="C5" s="37">
        <v>25</v>
      </c>
      <c r="D5" s="37">
        <f t="shared" ref="D5:D7" si="0">B5*C5</f>
        <v>200</v>
      </c>
    </row>
    <row r="6" spans="1:4" x14ac:dyDescent="0.3">
      <c r="A6" s="1" t="s">
        <v>31</v>
      </c>
      <c r="B6" s="1">
        <v>6</v>
      </c>
      <c r="C6" s="37">
        <v>50</v>
      </c>
      <c r="D6" s="37">
        <f t="shared" si="0"/>
        <v>300</v>
      </c>
    </row>
    <row r="7" spans="1:4" x14ac:dyDescent="0.3">
      <c r="A7" s="1" t="s">
        <v>323</v>
      </c>
      <c r="B7" s="1">
        <v>10</v>
      </c>
      <c r="C7" s="37">
        <v>100</v>
      </c>
      <c r="D7" s="37">
        <f t="shared" si="0"/>
        <v>1000</v>
      </c>
    </row>
    <row r="8" spans="1:4" x14ac:dyDescent="0.3">
      <c r="A8" s="1" t="s">
        <v>442</v>
      </c>
      <c r="B8" s="1">
        <v>1</v>
      </c>
      <c r="C8" s="37"/>
      <c r="D8" s="37">
        <f>SUM(D4:D7)</f>
        <v>1620</v>
      </c>
    </row>
    <row r="11" spans="1:4" x14ac:dyDescent="0.3">
      <c r="A11" t="s">
        <v>443</v>
      </c>
      <c r="B11">
        <v>600</v>
      </c>
    </row>
    <row r="12" spans="1:4" x14ac:dyDescent="0.3">
      <c r="A12" t="s">
        <v>17</v>
      </c>
      <c r="B12">
        <v>70</v>
      </c>
    </row>
    <row r="13" spans="1:4" x14ac:dyDescent="0.3">
      <c r="A13" t="s">
        <v>18</v>
      </c>
      <c r="B13">
        <v>80</v>
      </c>
    </row>
    <row r="15" spans="1:4" x14ac:dyDescent="0.3">
      <c r="A15" t="s">
        <v>444</v>
      </c>
    </row>
    <row r="16" spans="1:4" x14ac:dyDescent="0.3">
      <c r="A16" s="1"/>
      <c r="B16" s="1" t="str">
        <f>A12</f>
        <v>En cours initial</v>
      </c>
      <c r="C16" s="1" t="str">
        <f>A13</f>
        <v>En cours final</v>
      </c>
    </row>
    <row r="17" spans="1:5" x14ac:dyDescent="0.3">
      <c r="A17" s="1" t="s">
        <v>440</v>
      </c>
      <c r="B17" s="300">
        <v>0.8</v>
      </c>
      <c r="C17" s="300">
        <v>0.9</v>
      </c>
    </row>
    <row r="18" spans="1:5" x14ac:dyDescent="0.3">
      <c r="A18" s="1" t="s">
        <v>441</v>
      </c>
      <c r="B18" s="300">
        <v>0.6</v>
      </c>
      <c r="C18" s="300">
        <v>0.7</v>
      </c>
    </row>
    <row r="19" spans="1:5" x14ac:dyDescent="0.3">
      <c r="A19" s="1" t="s">
        <v>31</v>
      </c>
      <c r="B19" s="300">
        <v>0.5</v>
      </c>
      <c r="C19" s="300">
        <v>0.65</v>
      </c>
    </row>
    <row r="20" spans="1:5" x14ac:dyDescent="0.3">
      <c r="A20" s="1" t="s">
        <v>323</v>
      </c>
      <c r="B20" s="300">
        <v>0.4</v>
      </c>
      <c r="C20" s="300">
        <v>0.5</v>
      </c>
    </row>
    <row r="22" spans="1:5" ht="43.2" x14ac:dyDescent="0.3">
      <c r="A22" s="1"/>
      <c r="B22" s="128" t="s">
        <v>445</v>
      </c>
      <c r="C22" s="128" t="s">
        <v>446</v>
      </c>
      <c r="D22" s="128" t="s">
        <v>447</v>
      </c>
      <c r="E22" s="301" t="s">
        <v>448</v>
      </c>
    </row>
    <row r="23" spans="1:5" x14ac:dyDescent="0.3">
      <c r="A23" s="1" t="s">
        <v>440</v>
      </c>
      <c r="B23" s="1">
        <f>$B$11</f>
        <v>600</v>
      </c>
      <c r="C23" s="1">
        <f>$B$12*B17</f>
        <v>56</v>
      </c>
      <c r="D23" s="1">
        <f>$B$13*C17</f>
        <v>72</v>
      </c>
      <c r="E23" s="29">
        <f>B23-C23+D23</f>
        <v>616</v>
      </c>
    </row>
    <row r="24" spans="1:5" x14ac:dyDescent="0.3">
      <c r="A24" s="1" t="s">
        <v>441</v>
      </c>
      <c r="B24" s="1">
        <f t="shared" ref="B24:B26" si="1">$B$11</f>
        <v>600</v>
      </c>
      <c r="C24" s="1">
        <f t="shared" ref="C24:C26" si="2">$B$12*B18</f>
        <v>42</v>
      </c>
      <c r="D24" s="1">
        <f t="shared" ref="D24:D26" si="3">$B$13*C18</f>
        <v>56</v>
      </c>
      <c r="E24" s="29">
        <f t="shared" ref="E24:E26" si="4">B24-C24+D24</f>
        <v>614</v>
      </c>
    </row>
    <row r="25" spans="1:5" x14ac:dyDescent="0.3">
      <c r="A25" s="1" t="s">
        <v>31</v>
      </c>
      <c r="B25" s="1">
        <f t="shared" si="1"/>
        <v>600</v>
      </c>
      <c r="C25" s="1">
        <f t="shared" si="2"/>
        <v>35</v>
      </c>
      <c r="D25" s="1">
        <f t="shared" si="3"/>
        <v>52</v>
      </c>
      <c r="E25" s="29">
        <f t="shared" si="4"/>
        <v>617</v>
      </c>
    </row>
    <row r="26" spans="1:5" x14ac:dyDescent="0.3">
      <c r="A26" s="1" t="s">
        <v>323</v>
      </c>
      <c r="B26" s="1">
        <f t="shared" si="1"/>
        <v>600</v>
      </c>
      <c r="C26" s="1">
        <f t="shared" si="2"/>
        <v>28</v>
      </c>
      <c r="D26" s="1">
        <f t="shared" si="3"/>
        <v>40</v>
      </c>
      <c r="E26" s="29">
        <f t="shared" si="4"/>
        <v>612</v>
      </c>
    </row>
    <row r="29" spans="1:5" x14ac:dyDescent="0.3">
      <c r="A29" t="s">
        <v>449</v>
      </c>
    </row>
    <row r="31" spans="1:5" x14ac:dyDescent="0.3">
      <c r="A31" t="s">
        <v>440</v>
      </c>
      <c r="B31">
        <v>2450</v>
      </c>
      <c r="C31" s="183">
        <v>29.8</v>
      </c>
    </row>
    <row r="32" spans="1:5" x14ac:dyDescent="0.3">
      <c r="A32" t="s">
        <v>441</v>
      </c>
      <c r="B32">
        <v>4885</v>
      </c>
      <c r="C32" s="183">
        <v>24</v>
      </c>
    </row>
    <row r="33" spans="1:9" x14ac:dyDescent="0.3">
      <c r="A33" t="s">
        <v>31</v>
      </c>
      <c r="B33">
        <v>3650</v>
      </c>
      <c r="C33" s="302">
        <v>52</v>
      </c>
    </row>
    <row r="34" spans="1:9" x14ac:dyDescent="0.3">
      <c r="A34" t="s">
        <v>323</v>
      </c>
      <c r="B34">
        <v>5990</v>
      </c>
      <c r="C34" s="183">
        <v>103</v>
      </c>
    </row>
    <row r="35" spans="1:9" x14ac:dyDescent="0.3">
      <c r="C35" s="183"/>
    </row>
    <row r="36" spans="1:9" x14ac:dyDescent="0.3">
      <c r="A36" s="1"/>
      <c r="B36" s="317" t="s">
        <v>450</v>
      </c>
      <c r="C36" s="317"/>
      <c r="D36" s="317"/>
      <c r="E36" s="317" t="s">
        <v>451</v>
      </c>
      <c r="F36" s="317"/>
      <c r="G36" s="317"/>
      <c r="H36" s="332" t="s">
        <v>282</v>
      </c>
      <c r="I36" s="332"/>
    </row>
    <row r="37" spans="1:9" x14ac:dyDescent="0.3">
      <c r="A37" s="1"/>
      <c r="B37" s="295" t="s">
        <v>2</v>
      </c>
      <c r="C37" s="295" t="s">
        <v>1</v>
      </c>
      <c r="D37" s="295" t="s">
        <v>0</v>
      </c>
      <c r="E37" s="295" t="s">
        <v>2</v>
      </c>
      <c r="F37" s="295" t="s">
        <v>1</v>
      </c>
      <c r="G37" s="295" t="s">
        <v>0</v>
      </c>
      <c r="H37" s="332"/>
      <c r="I37" s="332"/>
    </row>
    <row r="38" spans="1:9" x14ac:dyDescent="0.3">
      <c r="A38" s="1" t="s">
        <v>440</v>
      </c>
      <c r="B38" s="1">
        <f>B31</f>
        <v>2450</v>
      </c>
      <c r="C38" s="37">
        <f>C31</f>
        <v>29.8</v>
      </c>
      <c r="D38" s="37">
        <f>B38*C38</f>
        <v>73010</v>
      </c>
      <c r="E38" s="1">
        <f>E23*B4</f>
        <v>2464</v>
      </c>
      <c r="F38" s="37">
        <f>C4</f>
        <v>30</v>
      </c>
      <c r="G38" s="37">
        <f>E38*F38</f>
        <v>73920</v>
      </c>
      <c r="H38" s="37">
        <f>D38-G38</f>
        <v>-910</v>
      </c>
      <c r="I38" s="1" t="s">
        <v>146</v>
      </c>
    </row>
    <row r="39" spans="1:9" x14ac:dyDescent="0.3">
      <c r="A39" s="1" t="s">
        <v>441</v>
      </c>
      <c r="B39" s="1">
        <f t="shared" ref="B39:C41" si="5">B32</f>
        <v>4885</v>
      </c>
      <c r="C39" s="37">
        <f t="shared" si="5"/>
        <v>24</v>
      </c>
      <c r="D39" s="37">
        <f t="shared" ref="D39:D41" si="6">B39*C39</f>
        <v>117240</v>
      </c>
      <c r="E39" s="1">
        <f>E24*B5</f>
        <v>4912</v>
      </c>
      <c r="F39" s="37">
        <f>C5</f>
        <v>25</v>
      </c>
      <c r="G39" s="37">
        <f t="shared" ref="G39:G41" si="7">E39*F39</f>
        <v>122800</v>
      </c>
      <c r="H39" s="37">
        <f t="shared" ref="H39:H41" si="8">D39-G39</f>
        <v>-5560</v>
      </c>
      <c r="I39" s="1" t="s">
        <v>146</v>
      </c>
    </row>
    <row r="40" spans="1:9" x14ac:dyDescent="0.3">
      <c r="A40" s="1" t="s">
        <v>31</v>
      </c>
      <c r="B40" s="1">
        <f t="shared" si="5"/>
        <v>3650</v>
      </c>
      <c r="C40" s="37">
        <f t="shared" si="5"/>
        <v>52</v>
      </c>
      <c r="D40" s="37">
        <f t="shared" si="6"/>
        <v>189800</v>
      </c>
      <c r="E40" s="1">
        <f>E25*B6</f>
        <v>3702</v>
      </c>
      <c r="F40" s="37">
        <f>C6</f>
        <v>50</v>
      </c>
      <c r="G40" s="37">
        <f t="shared" si="7"/>
        <v>185100</v>
      </c>
      <c r="H40" s="37">
        <f t="shared" si="8"/>
        <v>4700</v>
      </c>
      <c r="I40" s="1" t="s">
        <v>147</v>
      </c>
    </row>
    <row r="41" spans="1:9" x14ac:dyDescent="0.3">
      <c r="A41" s="1" t="s">
        <v>323</v>
      </c>
      <c r="B41" s="1">
        <f t="shared" si="5"/>
        <v>5990</v>
      </c>
      <c r="C41" s="37">
        <f t="shared" si="5"/>
        <v>103</v>
      </c>
      <c r="D41" s="37">
        <f t="shared" si="6"/>
        <v>616970</v>
      </c>
      <c r="E41" s="1">
        <f>E26*B7</f>
        <v>6120</v>
      </c>
      <c r="F41" s="37">
        <f>C7</f>
        <v>100</v>
      </c>
      <c r="G41" s="37">
        <f t="shared" si="7"/>
        <v>612000</v>
      </c>
      <c r="H41" s="37">
        <f t="shared" si="8"/>
        <v>4970</v>
      </c>
      <c r="I41" s="1" t="s">
        <v>147</v>
      </c>
    </row>
    <row r="42" spans="1:9" x14ac:dyDescent="0.3">
      <c r="A42" s="1" t="s">
        <v>61</v>
      </c>
      <c r="B42" s="1"/>
      <c r="C42" s="37"/>
      <c r="D42" s="37">
        <f>SUM(D38:D41)</f>
        <v>997020</v>
      </c>
      <c r="E42" s="1"/>
      <c r="F42" s="37"/>
      <c r="G42" s="37">
        <f>SUM(G38:G41)</f>
        <v>993820</v>
      </c>
      <c r="H42" s="37">
        <f>SUM(H38:H41)</f>
        <v>3200</v>
      </c>
      <c r="I42" s="1" t="s">
        <v>147</v>
      </c>
    </row>
  </sheetData>
  <mergeCells count="3">
    <mergeCell ref="B36:D36"/>
    <mergeCell ref="E36:G36"/>
    <mergeCell ref="H36:I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42A8-DF23-42BF-B4F1-C93BE620E558}">
  <dimension ref="A1:I66"/>
  <sheetViews>
    <sheetView showGridLines="0" zoomScale="160" zoomScaleNormal="160" workbookViewId="0">
      <selection activeCell="F8" sqref="F8"/>
    </sheetView>
  </sheetViews>
  <sheetFormatPr baseColWidth="10" defaultRowHeight="14.4" x14ac:dyDescent="0.3"/>
  <cols>
    <col min="1" max="1" width="25.6640625" bestFit="1" customWidth="1"/>
    <col min="2" max="2" width="12.6640625" bestFit="1" customWidth="1"/>
    <col min="3" max="3" width="11.6640625" bestFit="1" customWidth="1"/>
    <col min="4" max="4" width="14.109375" bestFit="1" customWidth="1"/>
    <col min="5" max="5" width="13.88671875" customWidth="1"/>
    <col min="6" max="6" width="15.6640625" customWidth="1"/>
    <col min="7" max="7" width="19.6640625" customWidth="1"/>
    <col min="8" max="8" width="11.88671875" bestFit="1" customWidth="1"/>
  </cols>
  <sheetData>
    <row r="1" spans="1:7" x14ac:dyDescent="0.3">
      <c r="A1" s="329" t="s">
        <v>280</v>
      </c>
      <c r="B1" s="329"/>
      <c r="C1" s="329"/>
      <c r="D1" s="329"/>
      <c r="E1" s="329"/>
      <c r="F1" s="329"/>
      <c r="G1" s="329"/>
    </row>
    <row r="2" spans="1:7" x14ac:dyDescent="0.3">
      <c r="A2" s="1"/>
      <c r="B2" s="32" t="s">
        <v>2</v>
      </c>
      <c r="C2" s="32" t="s">
        <v>1</v>
      </c>
      <c r="D2" s="32" t="s">
        <v>0</v>
      </c>
    </row>
    <row r="3" spans="1:7" x14ac:dyDescent="0.3">
      <c r="A3" s="1" t="s">
        <v>123</v>
      </c>
      <c r="B3" s="32" t="s">
        <v>124</v>
      </c>
      <c r="C3" s="8">
        <v>20</v>
      </c>
      <c r="D3" s="8">
        <v>5</v>
      </c>
    </row>
    <row r="4" spans="1:7" x14ac:dyDescent="0.3">
      <c r="A4" s="1" t="s">
        <v>125</v>
      </c>
      <c r="B4" s="32">
        <v>1</v>
      </c>
      <c r="C4" s="8">
        <v>0.25</v>
      </c>
      <c r="D4" s="8">
        <v>0.25</v>
      </c>
    </row>
    <row r="5" spans="1:7" x14ac:dyDescent="0.3">
      <c r="A5" s="1" t="s">
        <v>126</v>
      </c>
      <c r="B5" s="32">
        <v>1</v>
      </c>
      <c r="C5" s="8">
        <v>0.05</v>
      </c>
      <c r="D5" s="8">
        <v>0.05</v>
      </c>
    </row>
    <row r="6" spans="1:7" x14ac:dyDescent="0.3">
      <c r="A6" s="1" t="s">
        <v>31</v>
      </c>
      <c r="B6" s="32" t="s">
        <v>127</v>
      </c>
      <c r="C6" s="8">
        <v>24</v>
      </c>
      <c r="D6" s="8">
        <v>4</v>
      </c>
    </row>
    <row r="7" spans="1:7" x14ac:dyDescent="0.3">
      <c r="A7" s="1" t="s">
        <v>128</v>
      </c>
      <c r="B7" s="32" t="s">
        <v>129</v>
      </c>
      <c r="C7" s="8">
        <v>7</v>
      </c>
      <c r="D7" s="8">
        <f>C7*0.25</f>
        <v>1.75</v>
      </c>
    </row>
    <row r="8" spans="1:7" x14ac:dyDescent="0.3">
      <c r="A8" s="1" t="s">
        <v>130</v>
      </c>
      <c r="B8" s="32" t="s">
        <v>131</v>
      </c>
      <c r="C8" s="8">
        <f>C18</f>
        <v>0.8</v>
      </c>
      <c r="D8" s="8">
        <f>C8</f>
        <v>0.8</v>
      </c>
    </row>
    <row r="9" spans="1:7" x14ac:dyDescent="0.3">
      <c r="A9" s="1" t="s">
        <v>132</v>
      </c>
      <c r="B9" s="32" t="s">
        <v>131</v>
      </c>
      <c r="C9" s="8">
        <f>D18</f>
        <v>1</v>
      </c>
      <c r="D9" s="8">
        <f>C9</f>
        <v>1</v>
      </c>
    </row>
    <row r="10" spans="1:7" x14ac:dyDescent="0.3">
      <c r="A10" s="314" t="s">
        <v>133</v>
      </c>
      <c r="B10" s="314"/>
      <c r="C10" s="314"/>
      <c r="D10" s="4">
        <f>SUM(D3:D9)</f>
        <v>12.850000000000001</v>
      </c>
    </row>
    <row r="13" spans="1:7" x14ac:dyDescent="0.3">
      <c r="A13" s="1"/>
      <c r="B13" s="3" t="s">
        <v>134</v>
      </c>
      <c r="C13" s="3" t="s">
        <v>135</v>
      </c>
      <c r="D13" s="3" t="s">
        <v>136</v>
      </c>
    </row>
    <row r="14" spans="1:7" x14ac:dyDescent="0.3">
      <c r="A14" s="1" t="s">
        <v>85</v>
      </c>
      <c r="B14" s="78">
        <v>10875</v>
      </c>
      <c r="C14" s="78">
        <v>1300</v>
      </c>
      <c r="D14" s="78">
        <v>4800</v>
      </c>
    </row>
    <row r="15" spans="1:7" x14ac:dyDescent="0.3">
      <c r="A15" s="1" t="s">
        <v>37</v>
      </c>
      <c r="B15" s="78">
        <v>4000</v>
      </c>
      <c r="C15" s="78">
        <v>5500</v>
      </c>
      <c r="D15" s="78">
        <v>3700</v>
      </c>
    </row>
    <row r="16" spans="1:7" x14ac:dyDescent="0.3">
      <c r="A16" s="1" t="s">
        <v>83</v>
      </c>
      <c r="B16" s="1" t="s">
        <v>137</v>
      </c>
      <c r="C16" s="1" t="s">
        <v>138</v>
      </c>
      <c r="D16" s="1" t="s">
        <v>139</v>
      </c>
    </row>
    <row r="17" spans="1:9" x14ac:dyDescent="0.3">
      <c r="A17" s="1" t="s">
        <v>140</v>
      </c>
      <c r="B17" s="1">
        <v>2125</v>
      </c>
      <c r="C17" s="1">
        <v>8500</v>
      </c>
      <c r="D17" s="1">
        <v>8500</v>
      </c>
    </row>
    <row r="18" spans="1:9" x14ac:dyDescent="0.3">
      <c r="A18" s="3" t="s">
        <v>88</v>
      </c>
      <c r="B18" s="5">
        <f>(B14+B15)/B17</f>
        <v>7</v>
      </c>
      <c r="C18" s="5">
        <f t="shared" ref="C18:D18" si="0">(C14+C15)/C17</f>
        <v>0.8</v>
      </c>
      <c r="D18" s="5">
        <f t="shared" si="0"/>
        <v>1</v>
      </c>
    </row>
    <row r="20" spans="1:9" x14ac:dyDescent="0.3">
      <c r="A20" s="110" t="s">
        <v>141</v>
      </c>
    </row>
    <row r="21" spans="1:9" ht="21" x14ac:dyDescent="0.4">
      <c r="A21" s="111" t="s">
        <v>142</v>
      </c>
      <c r="B21" s="111">
        <v>7820</v>
      </c>
    </row>
    <row r="22" spans="1:9" x14ac:dyDescent="0.3">
      <c r="B22" s="317" t="s">
        <v>143</v>
      </c>
      <c r="C22" s="317"/>
      <c r="D22" s="317"/>
      <c r="E22" s="317" t="s">
        <v>144</v>
      </c>
      <c r="F22" s="317"/>
      <c r="G22" s="317"/>
      <c r="H22" s="335" t="s">
        <v>66</v>
      </c>
    </row>
    <row r="23" spans="1:9" x14ac:dyDescent="0.3">
      <c r="A23" s="1"/>
      <c r="B23" s="32" t="s">
        <v>2</v>
      </c>
      <c r="C23" s="32" t="s">
        <v>1</v>
      </c>
      <c r="D23" s="32" t="s">
        <v>0</v>
      </c>
      <c r="E23" s="32" t="s">
        <v>2</v>
      </c>
      <c r="F23" s="32" t="s">
        <v>1</v>
      </c>
      <c r="G23" s="32" t="s">
        <v>0</v>
      </c>
      <c r="H23" s="335"/>
    </row>
    <row r="24" spans="1:9" x14ac:dyDescent="0.3">
      <c r="A24" s="1" t="s">
        <v>145</v>
      </c>
      <c r="B24" s="1">
        <f>1960</f>
        <v>1960</v>
      </c>
      <c r="C24" s="8">
        <f>D24/B24</f>
        <v>18</v>
      </c>
      <c r="D24" s="112">
        <v>35280</v>
      </c>
      <c r="E24" s="1">
        <f>7820*250/1000</f>
        <v>1955</v>
      </c>
      <c r="F24" s="8">
        <v>20</v>
      </c>
      <c r="G24" s="113">
        <f>E24*F24</f>
        <v>39100</v>
      </c>
      <c r="H24" s="2">
        <f t="shared" ref="H24:H30" si="1">D24-G24</f>
        <v>-3820</v>
      </c>
      <c r="I24" t="s">
        <v>146</v>
      </c>
    </row>
    <row r="25" spans="1:9" x14ac:dyDescent="0.3">
      <c r="A25" s="1" t="str">
        <f t="shared" ref="A25:A30" si="2">A4</f>
        <v>Pot de verre</v>
      </c>
      <c r="B25" s="1">
        <v>7850</v>
      </c>
      <c r="C25" s="8">
        <f t="shared" ref="C25:C30" si="3">D25/B25</f>
        <v>0.27006369426751592</v>
      </c>
      <c r="D25" s="8">
        <v>2120</v>
      </c>
      <c r="E25" s="1">
        <f>7820</f>
        <v>7820</v>
      </c>
      <c r="F25" s="8">
        <v>0.25</v>
      </c>
      <c r="G25" s="2">
        <f t="shared" ref="G25:G30" si="4">E25*F25</f>
        <v>1955</v>
      </c>
      <c r="H25" s="2">
        <f t="shared" si="1"/>
        <v>165</v>
      </c>
      <c r="I25" t="s">
        <v>147</v>
      </c>
    </row>
    <row r="26" spans="1:9" x14ac:dyDescent="0.3">
      <c r="A26" s="1" t="str">
        <f t="shared" si="2"/>
        <v>Etiquette</v>
      </c>
      <c r="B26" s="1">
        <v>7900</v>
      </c>
      <c r="C26" s="8">
        <f t="shared" si="3"/>
        <v>4.0506329113924051E-2</v>
      </c>
      <c r="D26" s="8">
        <v>320</v>
      </c>
      <c r="E26" s="1">
        <f>7820</f>
        <v>7820</v>
      </c>
      <c r="F26" s="8">
        <v>0.05</v>
      </c>
      <c r="G26" s="2">
        <f t="shared" si="4"/>
        <v>391</v>
      </c>
      <c r="H26" s="2">
        <f t="shared" si="1"/>
        <v>-71</v>
      </c>
      <c r="I26" t="s">
        <v>146</v>
      </c>
    </row>
    <row r="27" spans="1:9" x14ac:dyDescent="0.3">
      <c r="A27" s="1" t="str">
        <f t="shared" si="2"/>
        <v>MOD</v>
      </c>
      <c r="B27" s="1">
        <v>1330</v>
      </c>
      <c r="C27" s="8">
        <f t="shared" si="3"/>
        <v>25</v>
      </c>
      <c r="D27" s="8">
        <v>33250</v>
      </c>
      <c r="E27" s="1">
        <f>7820*10/60</f>
        <v>1303.3333333333333</v>
      </c>
      <c r="F27" s="8">
        <v>24</v>
      </c>
      <c r="G27" s="2">
        <f t="shared" si="4"/>
        <v>31280</v>
      </c>
      <c r="H27" s="2">
        <f t="shared" si="1"/>
        <v>1970</v>
      </c>
      <c r="I27" t="s">
        <v>147</v>
      </c>
    </row>
    <row r="28" spans="1:9" x14ac:dyDescent="0.3">
      <c r="A28" s="29" t="str">
        <f t="shared" si="2"/>
        <v>Atelier préparation</v>
      </c>
      <c r="B28" s="29">
        <v>1960</v>
      </c>
      <c r="C28" s="67">
        <f t="shared" si="3"/>
        <v>6.8</v>
      </c>
      <c r="D28" s="67">
        <v>13328</v>
      </c>
      <c r="E28" s="1">
        <f>7820*0.25</f>
        <v>1955</v>
      </c>
      <c r="F28" s="8">
        <v>7</v>
      </c>
      <c r="G28" s="30">
        <f t="shared" si="4"/>
        <v>13685</v>
      </c>
      <c r="H28" s="43">
        <f t="shared" si="1"/>
        <v>-357</v>
      </c>
      <c r="I28" t="s">
        <v>146</v>
      </c>
    </row>
    <row r="29" spans="1:9" x14ac:dyDescent="0.3">
      <c r="A29" s="1" t="str">
        <f t="shared" si="2"/>
        <v>Atelier stérilisation</v>
      </c>
      <c r="B29" s="1">
        <v>7820</v>
      </c>
      <c r="C29" s="114">
        <f t="shared" si="3"/>
        <v>0.80434782608695654</v>
      </c>
      <c r="D29" s="8">
        <v>6290</v>
      </c>
      <c r="E29" s="1">
        <v>7820</v>
      </c>
      <c r="F29" s="8">
        <f>C8</f>
        <v>0.8</v>
      </c>
      <c r="G29" s="2">
        <f t="shared" si="4"/>
        <v>6256</v>
      </c>
      <c r="H29" s="2">
        <f t="shared" si="1"/>
        <v>34</v>
      </c>
      <c r="I29" t="s">
        <v>147</v>
      </c>
    </row>
    <row r="30" spans="1:9" x14ac:dyDescent="0.3">
      <c r="A30" s="1" t="str">
        <f t="shared" si="2"/>
        <v>Atelier Etiquetage</v>
      </c>
      <c r="B30" s="1">
        <v>7820</v>
      </c>
      <c r="C30" s="8">
        <f t="shared" si="3"/>
        <v>1.0505115089514065</v>
      </c>
      <c r="D30" s="8">
        <v>8215</v>
      </c>
      <c r="E30" s="1">
        <v>7820</v>
      </c>
      <c r="F30" s="8">
        <f>C9</f>
        <v>1</v>
      </c>
      <c r="G30" s="2">
        <f t="shared" si="4"/>
        <v>7820</v>
      </c>
      <c r="H30" s="2">
        <f t="shared" si="1"/>
        <v>395</v>
      </c>
      <c r="I30" t="s">
        <v>147</v>
      </c>
    </row>
    <row r="31" spans="1:9" x14ac:dyDescent="0.3">
      <c r="A31" s="320" t="s">
        <v>66</v>
      </c>
      <c r="B31" s="321"/>
      <c r="C31" s="321"/>
      <c r="D31" s="321"/>
      <c r="E31" s="321"/>
      <c r="F31" s="321"/>
      <c r="G31" s="322"/>
      <c r="H31" s="2">
        <f>SUM(H24:H30)</f>
        <v>-1684</v>
      </c>
      <c r="I31" t="s">
        <v>146</v>
      </c>
    </row>
    <row r="32" spans="1:9" x14ac:dyDescent="0.3">
      <c r="A32" s="68"/>
      <c r="B32" s="68"/>
      <c r="C32" s="68"/>
      <c r="D32" s="68"/>
      <c r="E32" s="68"/>
      <c r="F32" s="68"/>
      <c r="G32" s="68"/>
      <c r="H32" s="31"/>
    </row>
    <row r="34" spans="1:6" x14ac:dyDescent="0.3">
      <c r="A34" s="110" t="s">
        <v>148</v>
      </c>
    </row>
    <row r="38" spans="1:6" ht="20.399999999999999" customHeight="1" x14ac:dyDescent="0.3"/>
    <row r="39" spans="1:6" x14ac:dyDescent="0.3">
      <c r="B39" s="333" t="s">
        <v>149</v>
      </c>
      <c r="C39" s="333"/>
      <c r="D39" s="334" t="s">
        <v>31</v>
      </c>
      <c r="E39" s="334"/>
    </row>
    <row r="40" spans="1:6" x14ac:dyDescent="0.3">
      <c r="A40" s="1" t="s">
        <v>150</v>
      </c>
      <c r="B40" s="37">
        <f>D24-(8500*0.25*20)</f>
        <v>-7220</v>
      </c>
      <c r="C40" s="1" t="s">
        <v>146</v>
      </c>
      <c r="D40" s="37">
        <f>33250-(8500*4)</f>
        <v>-750</v>
      </c>
      <c r="E40" s="1" t="s">
        <v>146</v>
      </c>
      <c r="F40" s="23" t="s">
        <v>151</v>
      </c>
    </row>
    <row r="41" spans="1:6" x14ac:dyDescent="0.3">
      <c r="A41" s="1" t="s">
        <v>152</v>
      </c>
      <c r="B41" s="37">
        <f>(0.25*(7820-8500))*20</f>
        <v>-3400</v>
      </c>
      <c r="C41" s="1" t="s">
        <v>146</v>
      </c>
      <c r="D41" s="37">
        <f>(7820-8500)*4</f>
        <v>-2720</v>
      </c>
      <c r="E41" s="1" t="s">
        <v>146</v>
      </c>
      <c r="F41" s="23" t="s">
        <v>153</v>
      </c>
    </row>
    <row r="42" spans="1:6" x14ac:dyDescent="0.3">
      <c r="A42" s="1" t="s">
        <v>154</v>
      </c>
      <c r="B42" s="8">
        <f>H24</f>
        <v>-3820</v>
      </c>
      <c r="C42" s="1" t="s">
        <v>146</v>
      </c>
      <c r="D42" s="37">
        <f>+H27</f>
        <v>1970</v>
      </c>
      <c r="E42" s="1" t="s">
        <v>147</v>
      </c>
      <c r="F42" s="31"/>
    </row>
    <row r="43" spans="1:6" ht="8.4" customHeight="1" x14ac:dyDescent="0.3">
      <c r="A43" s="1"/>
      <c r="B43" s="1"/>
      <c r="C43" s="1"/>
      <c r="D43" s="1"/>
      <c r="E43" s="1"/>
    </row>
    <row r="44" spans="1:6" x14ac:dyDescent="0.3">
      <c r="A44" s="1" t="s">
        <v>155</v>
      </c>
      <c r="B44" s="2">
        <f>(B24-E24)*F24</f>
        <v>100</v>
      </c>
      <c r="C44" s="1" t="s">
        <v>147</v>
      </c>
      <c r="D44" s="37">
        <f>-(E27-B27)*24</f>
        <v>640.00000000000182</v>
      </c>
      <c r="E44" s="1" t="s">
        <v>147</v>
      </c>
    </row>
    <row r="45" spans="1:6" x14ac:dyDescent="0.3">
      <c r="A45" s="1" t="s">
        <v>156</v>
      </c>
      <c r="B45" s="8">
        <f>(C24-F24)*B24</f>
        <v>-3920</v>
      </c>
      <c r="C45" s="1" t="s">
        <v>146</v>
      </c>
      <c r="D45" s="2">
        <f>-(24-25)*B27</f>
        <v>1330</v>
      </c>
      <c r="E45" s="1" t="s">
        <v>147</v>
      </c>
    </row>
    <row r="50" spans="1:9" x14ac:dyDescent="0.3">
      <c r="A50" s="110" t="s">
        <v>41</v>
      </c>
    </row>
    <row r="53" spans="1:9" x14ac:dyDescent="0.3">
      <c r="B53" s="318" t="s">
        <v>157</v>
      </c>
      <c r="C53" s="318"/>
      <c r="D53" s="318"/>
      <c r="E53" s="318" t="s">
        <v>158</v>
      </c>
      <c r="F53" s="318"/>
      <c r="G53" s="318"/>
    </row>
    <row r="54" spans="1:9" x14ac:dyDescent="0.3">
      <c r="A54" s="29" t="str">
        <f>A28</f>
        <v>Atelier préparation</v>
      </c>
      <c r="B54" s="115">
        <f t="shared" ref="B54:H54" si="5">B28</f>
        <v>1960</v>
      </c>
      <c r="C54" s="67">
        <f>C28</f>
        <v>6.8</v>
      </c>
      <c r="D54" s="67">
        <f t="shared" si="5"/>
        <v>13328</v>
      </c>
      <c r="E54" s="115">
        <f>0.25*7820</f>
        <v>1955</v>
      </c>
      <c r="F54" s="67">
        <f t="shared" si="5"/>
        <v>7</v>
      </c>
      <c r="G54" s="67">
        <f t="shared" si="5"/>
        <v>13685</v>
      </c>
      <c r="H54" s="116">
        <f t="shared" si="5"/>
        <v>-357</v>
      </c>
      <c r="I54" t="s">
        <v>146</v>
      </c>
    </row>
    <row r="56" spans="1:9" ht="6.6" customHeight="1" x14ac:dyDescent="0.3"/>
    <row r="57" spans="1:9" x14ac:dyDescent="0.3">
      <c r="A57" s="1" t="s">
        <v>159</v>
      </c>
      <c r="B57" s="32" t="s">
        <v>160</v>
      </c>
    </row>
    <row r="58" spans="1:9" x14ac:dyDescent="0.3">
      <c r="A58" s="3" t="s">
        <v>37</v>
      </c>
      <c r="B58" s="5">
        <f>B15</f>
        <v>4000</v>
      </c>
    </row>
    <row r="59" spans="1:9" x14ac:dyDescent="0.3">
      <c r="A59" s="1" t="s">
        <v>85</v>
      </c>
      <c r="B59" s="37">
        <f>1960/2125*10875</f>
        <v>10030.588235294117</v>
      </c>
    </row>
    <row r="60" spans="1:9" x14ac:dyDescent="0.3">
      <c r="A60" s="29" t="s">
        <v>61</v>
      </c>
      <c r="B60" s="30">
        <f>B58+B59</f>
        <v>14030.588235294117</v>
      </c>
    </row>
    <row r="61" spans="1:9" ht="6" customHeight="1" x14ac:dyDescent="0.3"/>
    <row r="62" spans="1:9" x14ac:dyDescent="0.3">
      <c r="A62" s="115" t="s">
        <v>161</v>
      </c>
      <c r="B62" s="113">
        <f>D28-B60</f>
        <v>-702.58823529411711</v>
      </c>
      <c r="C62" s="1" t="s">
        <v>146</v>
      </c>
    </row>
    <row r="63" spans="1:9" x14ac:dyDescent="0.3">
      <c r="A63" s="115" t="s">
        <v>162</v>
      </c>
      <c r="B63" s="112">
        <f>(2125-1960)*(4000/2125)</f>
        <v>310.58823529411762</v>
      </c>
      <c r="C63" s="1" t="s">
        <v>147</v>
      </c>
    </row>
    <row r="64" spans="1:9" x14ac:dyDescent="0.3">
      <c r="A64" s="1" t="s">
        <v>163</v>
      </c>
      <c r="B64" s="2">
        <f>(B28-E28)*F28</f>
        <v>35</v>
      </c>
      <c r="C64" s="1" t="s">
        <v>147</v>
      </c>
    </row>
    <row r="65" spans="2:7" x14ac:dyDescent="0.3">
      <c r="B65" s="117">
        <f>SUM(B62:B64)</f>
        <v>-356.99999999999949</v>
      </c>
      <c r="C65" t="s">
        <v>146</v>
      </c>
    </row>
    <row r="66" spans="2:7" x14ac:dyDescent="0.3">
      <c r="G66" s="23" t="s">
        <v>164</v>
      </c>
    </row>
  </sheetData>
  <mergeCells count="10">
    <mergeCell ref="A1:G1"/>
    <mergeCell ref="A10:C10"/>
    <mergeCell ref="B22:D22"/>
    <mergeCell ref="E22:G22"/>
    <mergeCell ref="H22:H23"/>
    <mergeCell ref="A31:G31"/>
    <mergeCell ref="B39:C39"/>
    <mergeCell ref="D39:E39"/>
    <mergeCell ref="B53:D53"/>
    <mergeCell ref="E53:G5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2" ma:contentTypeDescription="Crée un document." ma:contentTypeScope="" ma:versionID="64fd4b693ab861ecd05c7c9a0ff5b72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1d535e6f73a1e622272d656ab1345b4a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DD4E8-8886-4D3C-9E99-DCEE7B4DA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E8ECF-58EE-4E61-A975-505D2B5AC1B9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6f2b70-d5a1-4544-a145-5b4293f1365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2077BA-A62B-4821-A106-EE6C09EB0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Exo 1</vt:lpstr>
      <vt:lpstr>Exo 2</vt:lpstr>
      <vt:lpstr>Exo 3</vt:lpstr>
      <vt:lpstr>Exo 4</vt:lpstr>
      <vt:lpstr>Exo 5</vt:lpstr>
      <vt:lpstr>Exo 6</vt:lpstr>
      <vt:lpstr>Exo 7</vt:lpstr>
      <vt:lpstr>Exo 8</vt:lpstr>
      <vt:lpstr>Exo 9</vt:lpstr>
      <vt:lpstr>Exo 10</vt:lpstr>
      <vt:lpstr>Exo 11</vt:lpstr>
      <vt:lpstr>Exo 12</vt:lpstr>
      <vt:lpstr>Exo 13</vt:lpstr>
      <vt:lpstr>Exo 14</vt:lpstr>
      <vt:lpstr>Exo 15</vt:lpstr>
      <vt:lpstr>Exo 16</vt:lpstr>
      <vt:lpstr>Exo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Noel</cp:lastModifiedBy>
  <dcterms:created xsi:type="dcterms:W3CDTF">2016-07-11T11:01:41Z</dcterms:created>
  <dcterms:modified xsi:type="dcterms:W3CDTF">2025-09-03T16:13:13Z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cf6c1cd0-1224-432d-a064-9bb98d7bcf06</vt:lpwstr>
  </property>
  <property fmtid="{D5CDD505-2E9C-101B-9397-08002B2CF9AE}" pid="3" name="ContentTypeId">
    <vt:lpwstr>0x01010021529F2146C75048A695AB3F03D98EF9</vt:lpwstr>
  </property>
</Properties>
</file>