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IUT BRETIGNY GEA/BUT/Cours BUT2/GEMA/R3 GEMA12 - Financement des activités/R3 GEMA 12 Chapitre 1/"/>
    </mc:Choice>
  </mc:AlternateContent>
  <xr:revisionPtr revIDLastSave="2" documentId="113_{CF2EC34E-0091-44C3-A20A-39E5D00EF6CF}" xr6:coauthVersionLast="36" xr6:coauthVersionMax="36" xr10:uidLastSave="{20D076AB-5240-40A3-B7E7-C265CD916411}"/>
  <bookViews>
    <workbookView xWindow="600" yWindow="675" windowWidth="18600" windowHeight="7740" xr2:uid="{00000000-000D-0000-FFFF-FFFF00000000}"/>
  </bookViews>
  <sheets>
    <sheet name="Exercice 1" sheetId="2" r:id="rId1"/>
    <sheet name="Exercice 2  " sheetId="3" r:id="rId2"/>
    <sheet name="Exercice 3" sheetId="10" r:id="rId3"/>
    <sheet name="Exercice 4" sheetId="11" r:id="rId4"/>
    <sheet name="Exercice 5" sheetId="12" r:id="rId5"/>
    <sheet name="Exercice 6" sheetId="13" r:id="rId6"/>
  </sheets>
  <externalReferences>
    <externalReference r:id="rId7"/>
  </externalReferences>
  <calcPr calcId="191029"/>
</workbook>
</file>

<file path=xl/calcChain.xml><?xml version="1.0" encoding="utf-8"?>
<calcChain xmlns="http://schemas.openxmlformats.org/spreadsheetml/2006/main">
  <c r="I34" i="13" l="1"/>
  <c r="I35" i="13"/>
  <c r="I36" i="13"/>
  <c r="I37" i="13"/>
  <c r="I38" i="13"/>
  <c r="I39" i="13"/>
  <c r="I40" i="13"/>
  <c r="I41" i="13"/>
  <c r="I42" i="13"/>
  <c r="I43" i="13"/>
  <c r="I44" i="13"/>
  <c r="I33" i="13"/>
  <c r="H44" i="13"/>
  <c r="H43" i="13"/>
  <c r="H42" i="13"/>
  <c r="H41" i="13"/>
  <c r="H37" i="13"/>
  <c r="H38" i="13"/>
  <c r="H39" i="13"/>
  <c r="H40" i="13"/>
  <c r="H36" i="13"/>
  <c r="H34" i="13"/>
  <c r="H35" i="13"/>
  <c r="H33" i="13"/>
  <c r="G34" i="13"/>
  <c r="G35" i="13"/>
  <c r="G36" i="13"/>
  <c r="G37" i="13"/>
  <c r="G38" i="13"/>
  <c r="G39" i="13"/>
  <c r="G40" i="13"/>
  <c r="G41" i="13"/>
  <c r="G42" i="13"/>
  <c r="G43" i="13"/>
  <c r="G44" i="13"/>
  <c r="G33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C14" i="13"/>
  <c r="C10" i="13"/>
  <c r="D10" i="13" s="1"/>
  <c r="C11" i="13"/>
  <c r="C12" i="13"/>
  <c r="C13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M42" i="12" l="1"/>
  <c r="M41" i="12"/>
  <c r="M40" i="12"/>
  <c r="M39" i="12"/>
  <c r="M38" i="12"/>
  <c r="M37" i="12"/>
  <c r="M36" i="12"/>
  <c r="M35" i="12"/>
  <c r="M34" i="12"/>
  <c r="M33" i="12"/>
  <c r="M32" i="12"/>
  <c r="M31" i="12"/>
  <c r="F19" i="12"/>
  <c r="D16" i="11" l="1"/>
  <c r="D20" i="11" s="1"/>
  <c r="C16" i="11"/>
  <c r="C20" i="11" s="1"/>
  <c r="B16" i="11"/>
  <c r="B20" i="11" s="1"/>
  <c r="E18" i="11"/>
  <c r="E20" i="11"/>
  <c r="F18" i="11"/>
  <c r="F20" i="11" s="1"/>
  <c r="F19" i="11"/>
  <c r="E19" i="11"/>
  <c r="D18" i="11"/>
  <c r="E17" i="11"/>
  <c r="D17" i="11"/>
  <c r="C17" i="11"/>
  <c r="E24" i="11" l="1"/>
  <c r="E28" i="11" s="1"/>
  <c r="B22" i="11"/>
  <c r="B6" i="11"/>
  <c r="E5" i="11"/>
  <c r="C4" i="11"/>
  <c r="C6" i="11" s="1"/>
  <c r="E26" i="11" l="1"/>
  <c r="E27" i="11"/>
  <c r="B25" i="11"/>
  <c r="B14" i="11" s="1"/>
  <c r="C7" i="11"/>
  <c r="D4" i="11"/>
  <c r="B7" i="11"/>
  <c r="I30" i="10"/>
  <c r="I31" i="10"/>
  <c r="I32" i="10"/>
  <c r="I29" i="10"/>
  <c r="H30" i="10"/>
  <c r="J30" i="10" s="1"/>
  <c r="H31" i="10"/>
  <c r="J31" i="10" s="1"/>
  <c r="H32" i="10"/>
  <c r="J32" i="10" s="1"/>
  <c r="H29" i="10"/>
  <c r="J29" i="10" s="1"/>
  <c r="B32" i="10"/>
  <c r="B31" i="10"/>
  <c r="B30" i="10"/>
  <c r="B29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11" i="10"/>
  <c r="C23" i="10"/>
  <c r="C24" i="10"/>
  <c r="C25" i="10"/>
  <c r="C22" i="10"/>
  <c r="C19" i="10"/>
  <c r="C20" i="10"/>
  <c r="C21" i="10"/>
  <c r="C18" i="10"/>
  <c r="C15" i="10"/>
  <c r="C16" i="10"/>
  <c r="C17" i="10"/>
  <c r="C14" i="10"/>
  <c r="C11" i="10"/>
  <c r="C12" i="10"/>
  <c r="C13" i="10"/>
  <c r="C10" i="10"/>
  <c r="B26" i="11" l="1"/>
  <c r="C14" i="11" s="1"/>
  <c r="E4" i="11"/>
  <c r="D6" i="11"/>
  <c r="B11" i="2"/>
  <c r="B19" i="2"/>
  <c r="B18" i="2"/>
  <c r="B17" i="2"/>
  <c r="B16" i="2"/>
  <c r="B15" i="2"/>
  <c r="B14" i="2"/>
  <c r="C9" i="3"/>
  <c r="E7" i="3"/>
  <c r="F4" i="3" s="1"/>
  <c r="B7" i="3"/>
  <c r="C3" i="3" s="1"/>
  <c r="F6" i="3"/>
  <c r="C6" i="3"/>
  <c r="G6" i="3" s="1"/>
  <c r="C14" i="3" s="1"/>
  <c r="F5" i="3"/>
  <c r="C5" i="3"/>
  <c r="G5" i="3" s="1"/>
  <c r="C13" i="3" s="1"/>
  <c r="C4" i="3"/>
  <c r="G4" i="3" s="1"/>
  <c r="C12" i="3" s="1"/>
  <c r="F3" i="3"/>
  <c r="F7" i="3" s="1"/>
  <c r="B27" i="11" l="1"/>
  <c r="D7" i="11"/>
  <c r="E6" i="11"/>
  <c r="C7" i="3"/>
  <c r="G3" i="3"/>
  <c r="E7" i="11" l="1"/>
  <c r="H6" i="11"/>
  <c r="G7" i="3"/>
  <c r="C11" i="3"/>
  <c r="C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4" authorId="0" shapeId="0" xr:uid="{00000000-0006-0000-0100-000001000000}">
      <text>
        <r>
          <rPr>
            <b/>
            <sz val="14"/>
            <color indexed="81"/>
            <rFont val="Tahoma"/>
            <family val="2"/>
          </rPr>
          <t>(50,857 * 7 )+ 1998,70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594 + 90 = 684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684 / 4 * 0,8486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4" authorId="0" shapeId="0" xr:uid="{0D022FBE-5A68-4D31-B1B6-5F871C8DDDE6}">
      <text>
        <r>
          <rPr>
            <b/>
            <sz val="9"/>
            <color indexed="81"/>
            <rFont val="Tahoma"/>
            <family val="2"/>
          </rPr>
          <t>875000 + (2496000)*0,55</t>
        </r>
      </text>
    </comment>
    <comment ref="C14" authorId="0" shapeId="0" xr:uid="{EFFD27D7-DEC1-4BBB-8DA4-D1B76D83755D}">
      <text>
        <r>
          <rPr>
            <b/>
            <sz val="9"/>
            <color indexed="81"/>
            <rFont val="Tahoma"/>
            <family val="2"/>
          </rPr>
          <t>2496000*0,35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 xr:uid="{A70FC3E8-E4DE-44B0-BD9C-2770F40AEA84}">
      <text>
        <r>
          <rPr>
            <b/>
            <sz val="9"/>
            <color indexed="81"/>
            <rFont val="Tahoma"/>
            <family val="2"/>
          </rPr>
          <t>2246400 /0,90 = 2496000€</t>
        </r>
      </text>
    </comment>
  </commentList>
</comments>
</file>

<file path=xl/sharedStrings.xml><?xml version="1.0" encoding="utf-8"?>
<sst xmlns="http://schemas.openxmlformats.org/spreadsheetml/2006/main" count="123" uniqueCount="77">
  <si>
    <t>TOTAL</t>
  </si>
  <si>
    <t>Trimestre</t>
  </si>
  <si>
    <t>Ventes</t>
  </si>
  <si>
    <t>Coefficients</t>
  </si>
  <si>
    <t>Trimestres</t>
  </si>
  <si>
    <t>Mois</t>
  </si>
  <si>
    <t>Corrélation</t>
  </si>
  <si>
    <t>J</t>
  </si>
  <si>
    <t>F</t>
  </si>
  <si>
    <t>M</t>
  </si>
  <si>
    <t>A</t>
  </si>
  <si>
    <t>Coefficients moyens</t>
  </si>
  <si>
    <t>Ventes prev.</t>
  </si>
  <si>
    <t>Quantité vendue</t>
  </si>
  <si>
    <t>PV unitaire</t>
  </si>
  <si>
    <t>CA HT</t>
  </si>
  <si>
    <t>Créances au bilan</t>
  </si>
  <si>
    <t xml:space="preserve">Règlements clients : </t>
  </si>
  <si>
    <t>Créances novembre pour janvier</t>
  </si>
  <si>
    <t>Créances décembre</t>
  </si>
  <si>
    <t>CA TTC de décembre N-1</t>
  </si>
  <si>
    <t>Février  - 35%</t>
  </si>
  <si>
    <t>Janvier - 55%</t>
  </si>
  <si>
    <t>CA TTC</t>
  </si>
  <si>
    <t>10% Décembre</t>
  </si>
  <si>
    <t>55% janvier</t>
  </si>
  <si>
    <t>35% en février</t>
  </si>
  <si>
    <t>-10% au comptant</t>
  </si>
  <si>
    <t>-55% à 30 jours</t>
  </si>
  <si>
    <t>-35% à 60 jours</t>
  </si>
  <si>
    <t>1er trimestre 2020</t>
  </si>
  <si>
    <t>2e trimestre 2020</t>
  </si>
  <si>
    <t>3e trimestre 2020</t>
  </si>
  <si>
    <t>4e trimestre 2020</t>
  </si>
  <si>
    <t>684 / 4 * 1,1607</t>
  </si>
  <si>
    <t>N-1</t>
  </si>
  <si>
    <t>N</t>
  </si>
  <si>
    <t xml:space="preserve">Vente de N+1 : </t>
  </si>
  <si>
    <t>N-3</t>
  </si>
  <si>
    <t>N-2</t>
  </si>
  <si>
    <t>1er trimestre</t>
  </si>
  <si>
    <t>2e trimestre</t>
  </si>
  <si>
    <t>3e trimestre</t>
  </si>
  <si>
    <t>4e trimestre</t>
  </si>
  <si>
    <t>Valeur</t>
  </si>
  <si>
    <t>M. mobiles</t>
  </si>
  <si>
    <t>C. Saisonniers</t>
  </si>
  <si>
    <t>C. Moyens</t>
  </si>
  <si>
    <t>Indice trimestre</t>
  </si>
  <si>
    <t>Valeur de l'équation</t>
  </si>
  <si>
    <t>Coef. Moyens</t>
  </si>
  <si>
    <t>Prévisions saisonnalisées</t>
  </si>
  <si>
    <t>Créances au 30/04/N</t>
  </si>
  <si>
    <t>CA  de janvier</t>
  </si>
  <si>
    <t>CA de février</t>
  </si>
  <si>
    <t>CA de Mars</t>
  </si>
  <si>
    <t>CA d'Avril</t>
  </si>
  <si>
    <t>ANNEES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</si>
  <si>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</si>
  <si>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</si>
  <si>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</si>
  <si>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</si>
  <si>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</si>
  <si>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</si>
  <si>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</si>
  <si>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</si>
  <si>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</si>
  <si>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</si>
  <si>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</si>
  <si>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</si>
  <si>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Coefficient de corrélation </t>
  </si>
  <si>
    <t>Prévision 2023</t>
  </si>
  <si>
    <t>M. Mobiles</t>
  </si>
  <si>
    <t>Coef. Saisonniers</t>
  </si>
  <si>
    <t>Coef Moyens</t>
  </si>
  <si>
    <t>Prévisions avec saisonnalité</t>
  </si>
  <si>
    <t>V. de l'équation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</si>
</sst>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000"/>
    <numFmt numFmtId="165" formatCode="_-* #,##0\ &quot;€&quot;_-;\-* #,##0\ &quot;€&quot;_-;_-* &quot;-&quot;??\ &quot;€&quot;_-;_-@_-"/>
    <numFmt numFmtId="166" formatCode="0.00000"/>
    <numFmt numFmtId="168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/>
    <xf numFmtId="0" fontId="1" fillId="3" borderId="1" xfId="0" applyFont="1" applyFill="1" applyBorder="1" applyAlignment="1">
      <alignment horizontal="center"/>
    </xf>
    <xf numFmtId="0" fontId="0" fillId="0" borderId="2" xfId="0" applyBorder="1"/>
    <xf numFmtId="1" fontId="1" fillId="2" borderId="1" xfId="0" applyNumberFormat="1" applyFont="1" applyFill="1" applyBorder="1"/>
    <xf numFmtId="164" fontId="0" fillId="4" borderId="0" xfId="0" applyNumberFormat="1" applyFill="1"/>
    <xf numFmtId="164" fontId="1" fillId="3" borderId="1" xfId="0" applyNumberFormat="1" applyFont="1" applyFill="1" applyBorder="1" applyAlignment="1">
      <alignment horizontal="center"/>
    </xf>
    <xf numFmtId="164" fontId="0" fillId="2" borderId="1" xfId="0" applyNumberFormat="1" applyFill="1" applyBorder="1"/>
    <xf numFmtId="44" fontId="0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5" fontId="0" fillId="0" borderId="1" xfId="1" applyNumberFormat="1" applyFont="1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right"/>
    </xf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wrapText="1"/>
    </xf>
    <xf numFmtId="44" fontId="0" fillId="0" borderId="0" xfId="1" applyFont="1" applyFill="1" applyBorder="1"/>
    <xf numFmtId="0" fontId="0" fillId="0" borderId="1" xfId="0" applyFill="1" applyBorder="1"/>
    <xf numFmtId="44" fontId="0" fillId="6" borderId="1" xfId="1" applyFont="1" applyFill="1" applyBorder="1" applyAlignment="1">
      <alignment horizontal="right"/>
    </xf>
    <xf numFmtId="44" fontId="0" fillId="0" borderId="0" xfId="0" applyNumberFormat="1"/>
    <xf numFmtId="44" fontId="0" fillId="5" borderId="1" xfId="1" applyFont="1" applyFill="1" applyBorder="1" applyAlignment="1">
      <alignment horizontal="right"/>
    </xf>
    <xf numFmtId="44" fontId="0" fillId="2" borderId="1" xfId="1" applyFont="1" applyFill="1" applyBorder="1" applyAlignment="1">
      <alignment horizontal="right"/>
    </xf>
    <xf numFmtId="44" fontId="0" fillId="7" borderId="1" xfId="1" applyFont="1" applyFill="1" applyBorder="1" applyAlignment="1">
      <alignment horizontal="right"/>
    </xf>
    <xf numFmtId="0" fontId="6" fillId="0" borderId="0" xfId="0" applyFont="1"/>
    <xf numFmtId="44" fontId="7" fillId="0" borderId="1" xfId="1" applyFont="1" applyBorder="1" applyAlignment="1">
      <alignment horizontal="right"/>
    </xf>
    <xf numFmtId="44" fontId="0" fillId="4" borderId="0" xfId="1" applyFont="1" applyFill="1"/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Alignment="1">
      <alignment horizontal="justify" vertical="center"/>
    </xf>
    <xf numFmtId="0" fontId="8" fillId="0" borderId="0" xfId="0" applyFont="1"/>
    <xf numFmtId="0" fontId="5" fillId="2" borderId="1" xfId="0" applyFont="1" applyFill="1" applyBorder="1"/>
    <xf numFmtId="0" fontId="7" fillId="0" borderId="1" xfId="0" applyFont="1" applyBorder="1" applyAlignment="1">
      <alignment horizontal="right"/>
    </xf>
    <xf numFmtId="44" fontId="11" fillId="0" borderId="1" xfId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0" fillId="0" borderId="0" xfId="0" quotePrefix="1"/>
    <xf numFmtId="0" fontId="13" fillId="0" borderId="6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Border="1"/>
    <xf numFmtId="0" fontId="16" fillId="8" borderId="1" xfId="0" applyFont="1" applyFill="1" applyBorder="1"/>
    <xf numFmtId="0" fontId="17" fillId="0" borderId="1" xfId="0" applyFont="1" applyBorder="1"/>
    <xf numFmtId="166" fontId="16" fillId="0" borderId="1" xfId="0" applyNumberFormat="1" applyFont="1" applyBorder="1"/>
    <xf numFmtId="166" fontId="17" fillId="0" borderId="1" xfId="0" applyNumberFormat="1" applyFont="1" applyBorder="1"/>
    <xf numFmtId="0" fontId="0" fillId="0" borderId="0" xfId="0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Fill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44" fontId="0" fillId="0" borderId="1" xfId="1" applyFont="1" applyFill="1" applyBorder="1" applyAlignment="1">
      <alignment horizontal="right"/>
    </xf>
    <xf numFmtId="168" fontId="0" fillId="0" borderId="1" xfId="1" applyNumberFormat="1" applyFont="1" applyBorder="1" applyAlignment="1">
      <alignment horizontal="center"/>
    </xf>
    <xf numFmtId="168" fontId="0" fillId="6" borderId="1" xfId="0" applyNumberFormat="1" applyFill="1" applyBorder="1"/>
    <xf numFmtId="168" fontId="0" fillId="2" borderId="1" xfId="0" applyNumberFormat="1" applyFill="1" applyBorder="1"/>
    <xf numFmtId="168" fontId="0" fillId="7" borderId="1" xfId="0" applyNumberFormat="1" applyFill="1" applyBorder="1"/>
    <xf numFmtId="168" fontId="0" fillId="5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/>
    <xf numFmtId="0" fontId="0" fillId="9" borderId="1" xfId="0" applyFill="1" applyBorder="1"/>
    <xf numFmtId="2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'Exercice 1'!$B$3</c:f>
              <c:strCache>
                <c:ptCount val="1"/>
                <c:pt idx="0">
                  <c:v>Ventes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1362760602280826"/>
                  <c:y val="3.45474469986541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1'!$A$4:$A$9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'Exercice 1'!$B$4:$B$9</c:f>
              <c:numCache>
                <c:formatCode>General</c:formatCode>
                <c:ptCount val="6"/>
                <c:pt idx="0">
                  <c:v>2070</c:v>
                </c:pt>
                <c:pt idx="1">
                  <c:v>2080</c:v>
                </c:pt>
                <c:pt idx="2">
                  <c:v>2150</c:v>
                </c:pt>
                <c:pt idx="3">
                  <c:v>2190</c:v>
                </c:pt>
                <c:pt idx="4">
                  <c:v>2260</c:v>
                </c:pt>
                <c:pt idx="5">
                  <c:v>2310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F5-48C6-83A9-CABF135C4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191008"/>
        <c:axId val="200187088"/>
      </c:scatterChart>
      <c:valAx>
        <c:axId val="20019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187088"/>
        <c:crosses val="autoZero"/>
        <c:crossBetween val="midCat"/>
      </c:valAx>
      <c:valAx>
        <c:axId val="20018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191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'Exercice 3'!$C$9</c:f>
              <c:strCache>
                <c:ptCount val="1"/>
                <c:pt idx="0">
                  <c:v>Valeur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1.5194781150281526E-2"/>
                  <c:y val="0.441606448130153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3'!$B$10:$B$25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'Exercice 3'!$C$10:$C$25</c:f>
              <c:numCache>
                <c:formatCode>General</c:formatCode>
                <c:ptCount val="16"/>
                <c:pt idx="0">
                  <c:v>112</c:v>
                </c:pt>
                <c:pt idx="1">
                  <c:v>189</c:v>
                </c:pt>
                <c:pt idx="2">
                  <c:v>172</c:v>
                </c:pt>
                <c:pt idx="3">
                  <c:v>85</c:v>
                </c:pt>
                <c:pt idx="4">
                  <c:v>123</c:v>
                </c:pt>
                <c:pt idx="5">
                  <c:v>201</c:v>
                </c:pt>
                <c:pt idx="6">
                  <c:v>182</c:v>
                </c:pt>
                <c:pt idx="7">
                  <c:v>103</c:v>
                </c:pt>
                <c:pt idx="8">
                  <c:v>132</c:v>
                </c:pt>
                <c:pt idx="9">
                  <c:v>198</c:v>
                </c:pt>
                <c:pt idx="10">
                  <c:v>185</c:v>
                </c:pt>
                <c:pt idx="11">
                  <c:v>112</c:v>
                </c:pt>
                <c:pt idx="12">
                  <c:v>130</c:v>
                </c:pt>
                <c:pt idx="13">
                  <c:v>220</c:v>
                </c:pt>
                <c:pt idx="14">
                  <c:v>190</c:v>
                </c:pt>
                <c:pt idx="15">
                  <c:v>109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AC-49BF-8079-4DDE13B6A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758336"/>
        <c:axId val="940691656"/>
      </c:scatterChart>
      <c:valAx>
        <c:axId val="620758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0691656"/>
        <c:crosses val="autoZero"/>
        <c:crossBetween val="midCat"/>
      </c:valAx>
      <c:valAx>
        <c:axId val="94069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58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1090244969378824"/>
                  <c:y val="2.94652230971128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'[1]Exercice 1'!$A$17:$A$52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'[1]Exercice 1'!$B$17:$B$52</c:f>
              <c:numCache>
                <c:formatCode>General</c:formatCode>
                <c:ptCount val="36"/>
                <c:pt idx="0">
                  <c:v>1200</c:v>
                </c:pt>
                <c:pt idx="1">
                  <c:v>1284</c:v>
                </c:pt>
                <c:pt idx="2">
                  <c:v>1336</c:v>
                </c:pt>
                <c:pt idx="3">
                  <c:v>1389</c:v>
                </c:pt>
                <c:pt idx="4">
                  <c:v>1486</c:v>
                </c:pt>
                <c:pt idx="5">
                  <c:v>1591</c:v>
                </c:pt>
                <c:pt idx="6">
                  <c:v>1638</c:v>
                </c:pt>
                <c:pt idx="7">
                  <c:v>1736</c:v>
                </c:pt>
                <c:pt idx="8">
                  <c:v>1823</c:v>
                </c:pt>
                <c:pt idx="9">
                  <c:v>1896</c:v>
                </c:pt>
                <c:pt idx="10">
                  <c:v>2010</c:v>
                </c:pt>
                <c:pt idx="11">
                  <c:v>2151</c:v>
                </c:pt>
                <c:pt idx="12">
                  <c:v>2301</c:v>
                </c:pt>
                <c:pt idx="13">
                  <c:v>2370</c:v>
                </c:pt>
                <c:pt idx="14">
                  <c:v>2536</c:v>
                </c:pt>
                <c:pt idx="15">
                  <c:v>2713</c:v>
                </c:pt>
                <c:pt idx="16">
                  <c:v>2822</c:v>
                </c:pt>
                <c:pt idx="17">
                  <c:v>2963</c:v>
                </c:pt>
                <c:pt idx="18">
                  <c:v>3141</c:v>
                </c:pt>
                <c:pt idx="19">
                  <c:v>3329</c:v>
                </c:pt>
                <c:pt idx="20">
                  <c:v>3462</c:v>
                </c:pt>
                <c:pt idx="21">
                  <c:v>3566</c:v>
                </c:pt>
                <c:pt idx="22">
                  <c:v>3709</c:v>
                </c:pt>
                <c:pt idx="23">
                  <c:v>3820</c:v>
                </c:pt>
                <c:pt idx="24">
                  <c:v>4087</c:v>
                </c:pt>
                <c:pt idx="25">
                  <c:v>4374</c:v>
                </c:pt>
                <c:pt idx="26">
                  <c:v>4636</c:v>
                </c:pt>
                <c:pt idx="27">
                  <c:v>4960</c:v>
                </c:pt>
                <c:pt idx="28">
                  <c:v>5258</c:v>
                </c:pt>
                <c:pt idx="29">
                  <c:v>5416</c:v>
                </c:pt>
                <c:pt idx="30">
                  <c:v>5741</c:v>
                </c:pt>
                <c:pt idx="31">
                  <c:v>6028</c:v>
                </c:pt>
                <c:pt idx="32">
                  <c:v>6389</c:v>
                </c:pt>
                <c:pt idx="33">
                  <c:v>6773</c:v>
                </c:pt>
                <c:pt idx="34">
                  <c:v>7247</c:v>
                </c:pt>
                <c:pt idx="35">
                  <c:v>7537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70-4FB1-A3D1-284A89140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283656"/>
        <c:axId val="561284312"/>
      </c:scatterChart>
      <c:valAx>
        <c:axId val="561283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1284312"/>
        <c:crosses val="autoZero"/>
        <c:crossBetween val="midCat"/>
      </c:valAx>
      <c:valAx>
        <c:axId val="56128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1283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'Exercice 6'!$B$6</c:f>
              <c:strCache>
                <c:ptCount val="1"/>
                <c:pt idx="0">
                  <c:v>Ventes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9420718706457991"/>
                  <c:y val="-0.245476268436190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6'!$A$7:$A$30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'Exercice 6'!$B$7:$B$30</c:f>
              <c:numCache>
                <c:formatCode>General</c:formatCode>
                <c:ptCount val="24"/>
                <c:pt idx="0">
                  <c:v>3750</c:v>
                </c:pt>
                <c:pt idx="1">
                  <c:v>3000</c:v>
                </c:pt>
                <c:pt idx="2">
                  <c:v>4250</c:v>
                </c:pt>
                <c:pt idx="3">
                  <c:v>3500</c:v>
                </c:pt>
                <c:pt idx="4">
                  <c:v>2375</c:v>
                </c:pt>
                <c:pt idx="5">
                  <c:v>2500</c:v>
                </c:pt>
                <c:pt idx="6">
                  <c:v>2000</c:v>
                </c:pt>
                <c:pt idx="7">
                  <c:v>1625</c:v>
                </c:pt>
                <c:pt idx="8">
                  <c:v>3250</c:v>
                </c:pt>
                <c:pt idx="9">
                  <c:v>4500</c:v>
                </c:pt>
                <c:pt idx="10">
                  <c:v>4750</c:v>
                </c:pt>
                <c:pt idx="11">
                  <c:v>5250</c:v>
                </c:pt>
                <c:pt idx="12">
                  <c:v>3800</c:v>
                </c:pt>
                <c:pt idx="13">
                  <c:v>3125</c:v>
                </c:pt>
                <c:pt idx="14">
                  <c:v>4125</c:v>
                </c:pt>
                <c:pt idx="15">
                  <c:v>3000</c:v>
                </c:pt>
                <c:pt idx="16">
                  <c:v>2500</c:v>
                </c:pt>
                <c:pt idx="17">
                  <c:v>2375</c:v>
                </c:pt>
                <c:pt idx="18">
                  <c:v>2125</c:v>
                </c:pt>
                <c:pt idx="19">
                  <c:v>1750</c:v>
                </c:pt>
                <c:pt idx="20">
                  <c:v>3625</c:v>
                </c:pt>
                <c:pt idx="21">
                  <c:v>4875</c:v>
                </c:pt>
                <c:pt idx="22">
                  <c:v>5000</c:v>
                </c:pt>
                <c:pt idx="23">
                  <c:v>5125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C4-40CC-805F-7554E2C8D94D}"/>
            </c:ext>
          </c:extLst>
        </c:ser>
        <c:ser>
          <c:idx val="1"/>
          <c:order val="1"/>
          <c:tx>
            <c:strRef>
              <c:f>'Exercice 6'!$C$6</c:f>
              <c:strCache>
                <c:ptCount val="1"/>
                <c:pt idx="0">
                  <c:v>M. Mobiles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'Exercice 6'!$A$7:$A$30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'Exercice 6'!$C$7:$C$30</c:f>
              <c:numCache>
                <c:formatCode>General</c:formatCode>
                <c:ptCount val="24"/>
                <c:pt idx="3">
                  <c:v>3053.5714285714284</c:v>
                </c:pt>
                <c:pt idx="4">
                  <c:v>2750</c:v>
                </c:pt>
                <c:pt idx="5">
                  <c:v>2785.7142857142858</c:v>
                </c:pt>
                <c:pt idx="6">
                  <c:v>2821.4285714285716</c:v>
                </c:pt>
                <c:pt idx="7">
                  <c:v>3000</c:v>
                </c:pt>
                <c:pt idx="8">
                  <c:v>3410.7142857142858</c:v>
                </c:pt>
                <c:pt idx="9">
                  <c:v>3596.4285714285716</c:v>
                </c:pt>
                <c:pt idx="10">
                  <c:v>3757.1428571428573</c:v>
                </c:pt>
                <c:pt idx="11">
                  <c:v>4114.2857142857147</c:v>
                </c:pt>
                <c:pt idx="12">
                  <c:v>4078.5714285714284</c:v>
                </c:pt>
                <c:pt idx="13">
                  <c:v>3792.8571428571427</c:v>
                </c:pt>
                <c:pt idx="14">
                  <c:v>3453.5714285714284</c:v>
                </c:pt>
                <c:pt idx="15">
                  <c:v>3007.1428571428573</c:v>
                </c:pt>
                <c:pt idx="16">
                  <c:v>2714.2857142857142</c:v>
                </c:pt>
                <c:pt idx="17">
                  <c:v>2785.7142857142858</c:v>
                </c:pt>
                <c:pt idx="18">
                  <c:v>2892.8571428571427</c:v>
                </c:pt>
                <c:pt idx="19">
                  <c:v>3178.5714285714284</c:v>
                </c:pt>
                <c:pt idx="20">
                  <c:v>3553.5714285714284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C4-40CC-805F-7554E2C8D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44424"/>
        <c:axId val="941146720"/>
      </c:scatterChart>
      <c:valAx>
        <c:axId val="941144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1146720"/>
        <c:crosses val="autoZero"/>
        <c:crossBetween val="midCat"/>
      </c:valAx>
      <c:valAx>
        <c:axId val="94114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1144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366030</xdr:colOff>
      <xdr:row>5</xdr:row>
      <xdr:rowOff>363408</xdr:rowOff>
    </xdr:from>
    <xdr:to>
      <xdr:col>15</xdr:col>
      <xdr:colOff>145791</xdr:colOff>
      <xdr:row>17</xdr:row>
      <xdr:rowOff>38877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</xdr:row>
      <xdr:rowOff>9525</xdr:rowOff>
    </xdr:from>
    <xdr:to>
      <xdr:col>13</xdr:col>
      <xdr:colOff>123825</xdr:colOff>
      <xdr:row>12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4D34CD1-5EE3-4260-A8DD-6B6623C48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619125</xdr:colOff>
      <xdr:row>27</xdr:row>
      <xdr:rowOff>485775</xdr:rowOff>
    </xdr:from>
    <xdr:to>
      <xdr:col>5</xdr:col>
      <xdr:colOff>857250</xdr:colOff>
      <xdr:row>30</xdr:row>
      <xdr:rowOff>180975</xdr:rowOff>
    </xdr:to>
    <xdr:sp macro="" textlink="">
      <xdr:nvSpPr>
        <xdr:cNvPr id="3" name="Flèche : droite 2">
          <a:extLst>
            <a:ext uri="{FF2B5EF4-FFF2-40B4-BE49-F238E27FC236}">
              <a16:creationId xmlns:a16="http://schemas.microsoft.com/office/drawing/2014/main" id="{14CE06B3-F598-491F-B188-DDD909213B2B}"/>
            </a:ext>
          </a:extLst>
        </xdr:cNvPr>
        <xdr:cNvSpPr/>
      </xdr:nvSpPr>
      <xdr:spPr>
        <a:xfrm>
          <a:off x="2790825" y="7219950"/>
          <a:ext cx="3486150" cy="762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/>
            <a:t>Prévision</a:t>
          </a:r>
          <a:r>
            <a:rPr lang="fr-FR" sz="1600" baseline="0"/>
            <a:t> N+1</a:t>
          </a:r>
          <a:endParaRPr lang="fr-FR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547687</xdr:colOff>
      <xdr:row>25</xdr:row>
      <xdr:rowOff>33337</xdr:rowOff>
    </xdr:from>
    <xdr:to>
      <xdr:col>8</xdr:col>
      <xdr:colOff>547687</xdr:colOff>
      <xdr:row>39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DAB9B46-9CEC-4D13-82F3-9B2494044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2</xdr:row>
      <xdr:rowOff>123824</xdr:rowOff>
    </xdr:from>
    <xdr:to>
      <xdr:col>17</xdr:col>
      <xdr:colOff>752475</xdr:colOff>
      <xdr:row>25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A5316C2-644B-42C1-B478-2FB94563D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noel\OneDrive%20-%20Universite%20Evry%20Val%20d'Essonne\IUT%20BRETIGNY%20GEA\LP%20MGO\THEME%202%20-%20La%20synth&#232;se%20Budg&#233;taire\Fichier%20Corrig&#233;%20Plan%20de%20tr&#233;sore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rcice 1"/>
      <sheetName val="Exercice 2"/>
      <sheetName val="Exercice 3"/>
      <sheetName val="Exercice 4"/>
      <sheetName val="Exercice 5"/>
      <sheetName val="Exercice 6"/>
    </sheetNames>
    <sheetDataSet>
      <sheetData sheetId="0">
        <row r="17">
          <cell r="A17">
            <v>1</v>
          </cell>
          <cell r="B17">
            <v>1200</v>
          </cell>
        </row>
        <row r="18">
          <cell r="A18">
            <v>2</v>
          </cell>
          <cell r="B18">
            <v>1284</v>
          </cell>
        </row>
        <row r="19">
          <cell r="A19">
            <v>3</v>
          </cell>
          <cell r="B19">
            <v>1336</v>
          </cell>
        </row>
        <row r="20">
          <cell r="A20">
            <v>4</v>
          </cell>
          <cell r="B20">
            <v>1389</v>
          </cell>
        </row>
        <row r="21">
          <cell r="A21">
            <v>5</v>
          </cell>
          <cell r="B21">
            <v>1486</v>
          </cell>
        </row>
        <row r="22">
          <cell r="A22">
            <v>6</v>
          </cell>
          <cell r="B22">
            <v>1591</v>
          </cell>
        </row>
        <row r="23">
          <cell r="A23">
            <v>7</v>
          </cell>
          <cell r="B23">
            <v>1638</v>
          </cell>
        </row>
        <row r="24">
          <cell r="A24">
            <v>8</v>
          </cell>
          <cell r="B24">
            <v>1736</v>
          </cell>
        </row>
        <row r="25">
          <cell r="A25">
            <v>9</v>
          </cell>
          <cell r="B25">
            <v>1823</v>
          </cell>
        </row>
        <row r="26">
          <cell r="A26">
            <v>10</v>
          </cell>
          <cell r="B26">
            <v>1896</v>
          </cell>
        </row>
        <row r="27">
          <cell r="A27">
            <v>11</v>
          </cell>
          <cell r="B27">
            <v>2010</v>
          </cell>
        </row>
        <row r="28">
          <cell r="A28">
            <v>12</v>
          </cell>
          <cell r="B28">
            <v>2151</v>
          </cell>
        </row>
        <row r="29">
          <cell r="A29">
            <v>13</v>
          </cell>
          <cell r="B29">
            <v>2301</v>
          </cell>
        </row>
        <row r="30">
          <cell r="A30">
            <v>14</v>
          </cell>
          <cell r="B30">
            <v>2370</v>
          </cell>
        </row>
        <row r="31">
          <cell r="A31">
            <v>15</v>
          </cell>
          <cell r="B31">
            <v>2536</v>
          </cell>
        </row>
        <row r="32">
          <cell r="A32">
            <v>16</v>
          </cell>
          <cell r="B32">
            <v>2713</v>
          </cell>
        </row>
        <row r="33">
          <cell r="A33">
            <v>17</v>
          </cell>
          <cell r="B33">
            <v>2822</v>
          </cell>
        </row>
        <row r="34">
          <cell r="A34">
            <v>18</v>
          </cell>
          <cell r="B34">
            <v>2963</v>
          </cell>
        </row>
        <row r="35">
          <cell r="A35">
            <v>19</v>
          </cell>
          <cell r="B35">
            <v>3141</v>
          </cell>
        </row>
        <row r="36">
          <cell r="A36">
            <v>20</v>
          </cell>
          <cell r="B36">
            <v>3329</v>
          </cell>
        </row>
        <row r="37">
          <cell r="A37">
            <v>21</v>
          </cell>
          <cell r="B37">
            <v>3462</v>
          </cell>
        </row>
        <row r="38">
          <cell r="A38">
            <v>22</v>
          </cell>
          <cell r="B38">
            <v>3566</v>
          </cell>
        </row>
        <row r="39">
          <cell r="A39">
            <v>23</v>
          </cell>
          <cell r="B39">
            <v>3709</v>
          </cell>
        </row>
        <row r="40">
          <cell r="A40">
            <v>24</v>
          </cell>
          <cell r="B40">
            <v>3820</v>
          </cell>
        </row>
        <row r="41">
          <cell r="A41">
            <v>25</v>
          </cell>
          <cell r="B41">
            <v>4087</v>
          </cell>
        </row>
        <row r="42">
          <cell r="A42">
            <v>26</v>
          </cell>
          <cell r="B42">
            <v>4374</v>
          </cell>
        </row>
        <row r="43">
          <cell r="A43">
            <v>27</v>
          </cell>
          <cell r="B43">
            <v>4636</v>
          </cell>
        </row>
        <row r="44">
          <cell r="A44">
            <v>28</v>
          </cell>
          <cell r="B44">
            <v>4960</v>
          </cell>
        </row>
        <row r="45">
          <cell r="A45">
            <v>29</v>
          </cell>
          <cell r="B45">
            <v>5258</v>
          </cell>
        </row>
        <row r="46">
          <cell r="A46">
            <v>30</v>
          </cell>
          <cell r="B46">
            <v>5416</v>
          </cell>
        </row>
        <row r="47">
          <cell r="A47">
            <v>31</v>
          </cell>
          <cell r="B47">
            <v>5741</v>
          </cell>
        </row>
        <row r="48">
          <cell r="A48">
            <v>32</v>
          </cell>
          <cell r="B48">
            <v>6028</v>
          </cell>
        </row>
        <row r="49">
          <cell r="A49">
            <v>33</v>
          </cell>
          <cell r="B49">
            <v>6389</v>
          </cell>
        </row>
        <row r="50">
          <cell r="A50">
            <v>34</v>
          </cell>
          <cell r="B50">
            <v>6773</v>
          </cell>
        </row>
        <row r="51">
          <cell r="A51">
            <v>35</v>
          </cell>
          <cell r="B51">
            <v>7247</v>
          </cell>
        </row>
        <row r="52">
          <cell r="A52">
            <v>36</v>
          </cell>
          <cell r="B52">
            <v>7537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F23"/>
  <sheetViews>
    <sheetView showGridLines="0" tabSelected="1" zoomScale="70" zoomScaleNormal="70" workbookViewId="0">
      <selection activeCell="O27" sqref="O27"/>
    </sheetView>
  </sheetViews>
  <sheetFormatPr baseColWidth="10" defaultRowHeight="15" x14ac:dyDescent="0.25"/>
  <cols>
    <col min="1" max="1" width="23.140625" bestFit="1" customWidth="1"/>
    <col min="2" max="2" width="27" customWidth="1"/>
    <col min="3" max="3" width="17.42578125" customWidth="1"/>
  </cols>
  <sheetData>
    <row r="3" spans="1:3" s="42" customFormat="1" ht="34.5" customHeight="1" x14ac:dyDescent="0.35">
      <c r="A3" s="41" t="s">
        <v>5</v>
      </c>
      <c r="B3" s="41" t="s">
        <v>2</v>
      </c>
    </row>
    <row r="4" spans="1:3" s="42" customFormat="1" ht="34.5" customHeight="1" x14ac:dyDescent="0.35">
      <c r="A4" s="43">
        <v>1</v>
      </c>
      <c r="B4" s="43">
        <v>2070</v>
      </c>
    </row>
    <row r="5" spans="1:3" s="42" customFormat="1" ht="34.5" customHeight="1" x14ac:dyDescent="0.35">
      <c r="A5" s="43">
        <v>2</v>
      </c>
      <c r="B5" s="43">
        <v>2080</v>
      </c>
    </row>
    <row r="6" spans="1:3" s="42" customFormat="1" ht="34.5" customHeight="1" x14ac:dyDescent="0.35">
      <c r="A6" s="43">
        <v>3</v>
      </c>
      <c r="B6" s="43">
        <v>2150</v>
      </c>
    </row>
    <row r="7" spans="1:3" s="42" customFormat="1" ht="34.5" customHeight="1" x14ac:dyDescent="0.35">
      <c r="A7" s="43">
        <v>4</v>
      </c>
      <c r="B7" s="43">
        <v>2190</v>
      </c>
    </row>
    <row r="8" spans="1:3" s="42" customFormat="1" ht="34.5" customHeight="1" x14ac:dyDescent="0.35">
      <c r="A8" s="43">
        <v>5</v>
      </c>
      <c r="B8" s="43">
        <v>2260</v>
      </c>
    </row>
    <row r="9" spans="1:3" s="42" customFormat="1" ht="34.5" customHeight="1" x14ac:dyDescent="0.35">
      <c r="A9" s="43">
        <v>6</v>
      </c>
      <c r="B9" s="43">
        <v>2310</v>
      </c>
    </row>
    <row r="10" spans="1:3" s="42" customFormat="1" ht="34.5" customHeight="1" x14ac:dyDescent="0.35"/>
    <row r="11" spans="1:3" ht="31.5" x14ac:dyDescent="0.5">
      <c r="A11" s="31" t="s">
        <v>6</v>
      </c>
      <c r="B11" s="31">
        <f>CORREL(A4:A9,B4:B9)</f>
        <v>0.98838059335857686</v>
      </c>
    </row>
    <row r="13" spans="1:3" ht="26.25" x14ac:dyDescent="0.4">
      <c r="A13" s="17" t="s">
        <v>5</v>
      </c>
      <c r="B13" s="17" t="s">
        <v>2</v>
      </c>
    </row>
    <row r="14" spans="1:3" ht="26.25" x14ac:dyDescent="0.4">
      <c r="A14" s="38">
        <v>7</v>
      </c>
      <c r="B14" s="38">
        <f t="shared" ref="B14:B19" si="0">A14*50.857+1998.7</f>
        <v>2354.6990000000001</v>
      </c>
    </row>
    <row r="15" spans="1:3" ht="26.25" x14ac:dyDescent="0.4">
      <c r="A15" s="18">
        <v>8</v>
      </c>
      <c r="B15" s="18">
        <f t="shared" si="0"/>
        <v>2405.556</v>
      </c>
      <c r="C15" s="42"/>
    </row>
    <row r="16" spans="1:3" ht="26.25" x14ac:dyDescent="0.4">
      <c r="A16" s="18">
        <v>9</v>
      </c>
      <c r="B16" s="18">
        <f t="shared" si="0"/>
        <v>2456.413</v>
      </c>
      <c r="C16" s="42"/>
    </row>
    <row r="17" spans="1:6" ht="26.25" x14ac:dyDescent="0.4">
      <c r="A17" s="38">
        <v>10</v>
      </c>
      <c r="B17" s="38">
        <f t="shared" si="0"/>
        <v>2507.27</v>
      </c>
      <c r="C17" s="42"/>
    </row>
    <row r="18" spans="1:6" ht="26.25" x14ac:dyDescent="0.4">
      <c r="A18" s="18">
        <v>11</v>
      </c>
      <c r="B18" s="18">
        <f t="shared" si="0"/>
        <v>2558.127</v>
      </c>
      <c r="C18" s="42"/>
    </row>
    <row r="19" spans="1:6" ht="26.25" x14ac:dyDescent="0.4">
      <c r="A19" s="38">
        <v>12</v>
      </c>
      <c r="B19" s="38">
        <f t="shared" si="0"/>
        <v>2608.9839999999999</v>
      </c>
      <c r="C19" s="42"/>
    </row>
    <row r="23" spans="1:6" ht="21" x14ac:dyDescent="0.35">
      <c r="F23" s="37"/>
    </row>
  </sheetData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5"/>
  <sheetViews>
    <sheetView showGridLines="0" zoomScale="180" zoomScaleNormal="180" workbookViewId="0">
      <selection activeCell="H14" sqref="H14"/>
    </sheetView>
  </sheetViews>
  <sheetFormatPr baseColWidth="10" defaultRowHeight="15" x14ac:dyDescent="0.25"/>
  <cols>
    <col min="4" max="4" width="11.7109375" customWidth="1"/>
    <col min="5" max="5" width="11.140625" customWidth="1"/>
    <col min="7" max="7" width="18.140625" bestFit="1" customWidth="1"/>
  </cols>
  <sheetData>
    <row r="1" spans="1:7" x14ac:dyDescent="0.25">
      <c r="A1" s="58" t="s">
        <v>35</v>
      </c>
      <c r="B1" s="58"/>
      <c r="C1" s="58"/>
      <c r="D1" s="58" t="s">
        <v>36</v>
      </c>
      <c r="E1" s="58"/>
      <c r="F1" s="58"/>
    </row>
    <row r="2" spans="1:7" x14ac:dyDescent="0.25">
      <c r="A2" s="5" t="s">
        <v>4</v>
      </c>
      <c r="B2" s="5" t="s">
        <v>2</v>
      </c>
      <c r="C2" s="4" t="s">
        <v>3</v>
      </c>
      <c r="D2" s="7" t="s">
        <v>4</v>
      </c>
      <c r="E2" s="7" t="s">
        <v>2</v>
      </c>
      <c r="F2" s="9" t="s">
        <v>3</v>
      </c>
      <c r="G2" s="10" t="s">
        <v>11</v>
      </c>
    </row>
    <row r="3" spans="1:7" x14ac:dyDescent="0.25">
      <c r="A3" s="5">
        <v>1</v>
      </c>
      <c r="B3" s="5">
        <v>108</v>
      </c>
      <c r="C3" s="15">
        <f>B3/$B$7*4</f>
        <v>0.84872298624754416</v>
      </c>
      <c r="D3" s="8">
        <v>1</v>
      </c>
      <c r="E3" s="7">
        <v>126</v>
      </c>
      <c r="F3" s="13">
        <f>E3/$E$7*4</f>
        <v>0.84848484848484851</v>
      </c>
      <c r="G3" s="14">
        <f>(C3+F3)/2</f>
        <v>0.84860391736619634</v>
      </c>
    </row>
    <row r="4" spans="1:7" x14ac:dyDescent="0.25">
      <c r="A4" s="5">
        <v>2</v>
      </c>
      <c r="B4" s="5">
        <v>150</v>
      </c>
      <c r="C4" s="15">
        <f>B4/$B$7*4</f>
        <v>1.1787819253438114</v>
      </c>
      <c r="D4" s="8">
        <v>2</v>
      </c>
      <c r="E4" s="7">
        <v>175</v>
      </c>
      <c r="F4" s="13">
        <f>E4/$E$7*4</f>
        <v>1.1784511784511784</v>
      </c>
      <c r="G4" s="14">
        <f>(C4+F4)/2</f>
        <v>1.1786165518974949</v>
      </c>
    </row>
    <row r="5" spans="1:7" x14ac:dyDescent="0.25">
      <c r="A5" s="5">
        <v>3</v>
      </c>
      <c r="B5" s="5">
        <v>103</v>
      </c>
      <c r="C5" s="15">
        <f>B5/$B$7*4</f>
        <v>0.80943025540275049</v>
      </c>
      <c r="D5" s="8">
        <v>3</v>
      </c>
      <c r="E5" s="7">
        <v>121</v>
      </c>
      <c r="F5" s="13">
        <f>E5/$E$7*4</f>
        <v>0.81481481481481477</v>
      </c>
      <c r="G5" s="14">
        <f>(C5+F5)/2</f>
        <v>0.81212253510878263</v>
      </c>
    </row>
    <row r="6" spans="1:7" x14ac:dyDescent="0.25">
      <c r="A6" s="5">
        <v>4</v>
      </c>
      <c r="B6" s="5">
        <v>148</v>
      </c>
      <c r="C6" s="15">
        <f>B6/$B$7*4</f>
        <v>1.1630648330058939</v>
      </c>
      <c r="D6" s="8">
        <v>4</v>
      </c>
      <c r="E6" s="7">
        <v>172</v>
      </c>
      <c r="F6" s="13">
        <f>E6/$E$7*4</f>
        <v>1.1582491582491583</v>
      </c>
      <c r="G6" s="14">
        <f>(C6+F6)/2</f>
        <v>1.1606569956275261</v>
      </c>
    </row>
    <row r="7" spans="1:7" x14ac:dyDescent="0.25">
      <c r="A7" s="6" t="s">
        <v>0</v>
      </c>
      <c r="B7" s="6">
        <f>SUM(B3:B6)</f>
        <v>509</v>
      </c>
      <c r="C7" s="6">
        <f>SUM(C3:C6)</f>
        <v>4</v>
      </c>
      <c r="D7" s="6" t="s">
        <v>0</v>
      </c>
      <c r="E7" s="6">
        <f>SUM(E3:E6)</f>
        <v>594</v>
      </c>
      <c r="F7" s="6">
        <f>SUM(F3:F6)</f>
        <v>4</v>
      </c>
      <c r="G7" s="6">
        <f>SUM(G3:G6)</f>
        <v>4</v>
      </c>
    </row>
    <row r="9" spans="1:7" x14ac:dyDescent="0.25">
      <c r="A9" t="s">
        <v>37</v>
      </c>
      <c r="C9">
        <f>594+90</f>
        <v>684</v>
      </c>
    </row>
    <row r="10" spans="1:7" x14ac:dyDescent="0.25">
      <c r="C10" s="1" t="s">
        <v>12</v>
      </c>
    </row>
    <row r="11" spans="1:7" x14ac:dyDescent="0.25">
      <c r="A11" s="1" t="s">
        <v>30</v>
      </c>
      <c r="B11" s="11"/>
      <c r="C11" s="3">
        <f>684*G3/4</f>
        <v>145.11126986961958</v>
      </c>
    </row>
    <row r="12" spans="1:7" x14ac:dyDescent="0.25">
      <c r="A12" s="1" t="s">
        <v>31</v>
      </c>
      <c r="B12" s="11"/>
      <c r="C12" s="3">
        <f>684*G4/4</f>
        <v>201.54343037447163</v>
      </c>
    </row>
    <row r="13" spans="1:7" x14ac:dyDescent="0.25">
      <c r="A13" s="1" t="s">
        <v>32</v>
      </c>
      <c r="B13" s="11"/>
      <c r="C13" s="3">
        <f>684*G5/4</f>
        <v>138.87295350360182</v>
      </c>
    </row>
    <row r="14" spans="1:7" x14ac:dyDescent="0.25">
      <c r="A14" s="1" t="s">
        <v>33</v>
      </c>
      <c r="B14" s="11"/>
      <c r="C14" s="3">
        <f>684*G6/4</f>
        <v>198.47234625230698</v>
      </c>
      <c r="D14" s="44" t="s">
        <v>34</v>
      </c>
    </row>
    <row r="15" spans="1:7" x14ac:dyDescent="0.25">
      <c r="C15" s="12">
        <f>SUM(C11:C14)</f>
        <v>684</v>
      </c>
    </row>
  </sheetData>
  <mergeCells count="2">
    <mergeCell ref="A1:C1"/>
    <mergeCell ref="D1:F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BA43-C88E-4606-9EC6-E79C09FBEDC5}">
  <dimension ref="A2:K32"/>
  <sheetViews>
    <sheetView showGridLines="0" workbookViewId="0">
      <selection activeCell="A28" sqref="A28:B32"/>
    </sheetView>
  </sheetViews>
  <sheetFormatPr baseColWidth="10" defaultRowHeight="15" x14ac:dyDescent="0.25"/>
  <cols>
    <col min="2" max="2" width="21.140625" customWidth="1"/>
    <col min="3" max="3" width="16" customWidth="1"/>
    <col min="4" max="4" width="14.85546875" bestFit="1" customWidth="1"/>
    <col min="5" max="6" width="17.85546875" customWidth="1"/>
    <col min="7" max="7" width="15" customWidth="1"/>
    <col min="8" max="8" width="20" customWidth="1"/>
    <col min="9" max="9" width="17.42578125" customWidth="1"/>
    <col min="10" max="10" width="19.85546875" customWidth="1"/>
  </cols>
  <sheetData>
    <row r="2" spans="1:6" ht="15.75" thickBot="1" x14ac:dyDescent="0.3"/>
    <row r="3" spans="1:6" ht="19.5" thickBot="1" x14ac:dyDescent="0.3">
      <c r="B3" s="45"/>
      <c r="C3" s="46" t="s">
        <v>38</v>
      </c>
      <c r="D3" s="46" t="s">
        <v>39</v>
      </c>
      <c r="E3" s="46" t="s">
        <v>35</v>
      </c>
      <c r="F3" s="46" t="s">
        <v>36</v>
      </c>
    </row>
    <row r="4" spans="1:6" ht="19.5" thickBot="1" x14ac:dyDescent="0.3">
      <c r="B4" s="47" t="s">
        <v>40</v>
      </c>
      <c r="C4" s="48">
        <v>112</v>
      </c>
      <c r="D4" s="48">
        <v>123</v>
      </c>
      <c r="E4" s="48">
        <v>132</v>
      </c>
      <c r="F4" s="48">
        <v>130</v>
      </c>
    </row>
    <row r="5" spans="1:6" ht="19.5" thickBot="1" x14ac:dyDescent="0.3">
      <c r="B5" s="47" t="s">
        <v>41</v>
      </c>
      <c r="C5" s="48">
        <v>189</v>
      </c>
      <c r="D5" s="48">
        <v>201</v>
      </c>
      <c r="E5" s="48">
        <v>198</v>
      </c>
      <c r="F5" s="48">
        <v>220</v>
      </c>
    </row>
    <row r="6" spans="1:6" ht="19.5" thickBot="1" x14ac:dyDescent="0.3">
      <c r="B6" s="47" t="s">
        <v>42</v>
      </c>
      <c r="C6" s="48">
        <v>172</v>
      </c>
      <c r="D6" s="48">
        <v>182</v>
      </c>
      <c r="E6" s="48">
        <v>185</v>
      </c>
      <c r="F6" s="48">
        <v>190</v>
      </c>
    </row>
    <row r="7" spans="1:6" ht="19.5" thickBot="1" x14ac:dyDescent="0.3">
      <c r="B7" s="47" t="s">
        <v>43</v>
      </c>
      <c r="C7" s="48">
        <v>85</v>
      </c>
      <c r="D7" s="48">
        <v>103</v>
      </c>
      <c r="E7" s="48">
        <v>112</v>
      </c>
      <c r="F7" s="48">
        <v>109</v>
      </c>
    </row>
    <row r="9" spans="1:6" ht="21" x14ac:dyDescent="0.35">
      <c r="B9" s="49" t="s">
        <v>1</v>
      </c>
      <c r="C9" s="50" t="s">
        <v>44</v>
      </c>
      <c r="D9" s="50" t="s">
        <v>45</v>
      </c>
      <c r="E9" s="52" t="s">
        <v>46</v>
      </c>
    </row>
    <row r="10" spans="1:6" ht="21" x14ac:dyDescent="0.35">
      <c r="A10" s="59" t="s">
        <v>38</v>
      </c>
      <c r="B10" s="50">
        <v>1</v>
      </c>
      <c r="C10" s="50">
        <f>+C4</f>
        <v>112</v>
      </c>
      <c r="D10" s="51"/>
      <c r="E10" s="51"/>
    </row>
    <row r="11" spans="1:6" ht="21" x14ac:dyDescent="0.35">
      <c r="A11" s="59"/>
      <c r="B11" s="50">
        <v>2</v>
      </c>
      <c r="C11" s="50">
        <f t="shared" ref="C11:C13" si="0">+C5</f>
        <v>189</v>
      </c>
      <c r="D11" s="50">
        <f>(C10+C11+C12)/3</f>
        <v>157.66666666666666</v>
      </c>
      <c r="E11" s="53">
        <f>C11/D11</f>
        <v>1.1987315010570825</v>
      </c>
    </row>
    <row r="12" spans="1:6" ht="21" x14ac:dyDescent="0.35">
      <c r="A12" s="59"/>
      <c r="B12" s="50">
        <v>3</v>
      </c>
      <c r="C12" s="50">
        <f t="shared" si="0"/>
        <v>172</v>
      </c>
      <c r="D12" s="50">
        <f t="shared" ref="D12:D24" si="1">(C11+C12+C13)/3</f>
        <v>148.66666666666666</v>
      </c>
      <c r="E12" s="53">
        <f t="shared" ref="E12:E24" si="2">C12/D12</f>
        <v>1.1569506726457399</v>
      </c>
    </row>
    <row r="13" spans="1:6" ht="21" x14ac:dyDescent="0.35">
      <c r="A13" s="59"/>
      <c r="B13" s="50">
        <v>4</v>
      </c>
      <c r="C13" s="50">
        <f t="shared" si="0"/>
        <v>85</v>
      </c>
      <c r="D13" s="50">
        <f t="shared" si="1"/>
        <v>126.66666666666667</v>
      </c>
      <c r="E13" s="53">
        <f t="shared" si="2"/>
        <v>0.67105263157894735</v>
      </c>
    </row>
    <row r="14" spans="1:6" ht="21" x14ac:dyDescent="0.35">
      <c r="A14" s="59" t="s">
        <v>39</v>
      </c>
      <c r="B14" s="50">
        <v>5</v>
      </c>
      <c r="C14" s="50">
        <f>+D4</f>
        <v>123</v>
      </c>
      <c r="D14" s="50">
        <f t="shared" si="1"/>
        <v>136.33333333333334</v>
      </c>
      <c r="E14" s="53">
        <f t="shared" si="2"/>
        <v>0.90220048899755489</v>
      </c>
    </row>
    <row r="15" spans="1:6" ht="21" x14ac:dyDescent="0.35">
      <c r="A15" s="59"/>
      <c r="B15" s="50">
        <v>6</v>
      </c>
      <c r="C15" s="50">
        <f t="shared" ref="C15:C17" si="3">+D5</f>
        <v>201</v>
      </c>
      <c r="D15" s="50">
        <f t="shared" si="1"/>
        <v>168.66666666666666</v>
      </c>
      <c r="E15" s="53">
        <f t="shared" si="2"/>
        <v>1.191699604743083</v>
      </c>
    </row>
    <row r="16" spans="1:6" ht="21" x14ac:dyDescent="0.35">
      <c r="A16" s="59"/>
      <c r="B16" s="50">
        <v>7</v>
      </c>
      <c r="C16" s="50">
        <f t="shared" si="3"/>
        <v>182</v>
      </c>
      <c r="D16" s="50">
        <f t="shared" si="1"/>
        <v>162</v>
      </c>
      <c r="E16" s="53">
        <f t="shared" si="2"/>
        <v>1.1234567901234569</v>
      </c>
    </row>
    <row r="17" spans="1:11" ht="21" x14ac:dyDescent="0.35">
      <c r="A17" s="59"/>
      <c r="B17" s="50">
        <v>8</v>
      </c>
      <c r="C17" s="50">
        <f t="shared" si="3"/>
        <v>103</v>
      </c>
      <c r="D17" s="50">
        <f t="shared" si="1"/>
        <v>139</v>
      </c>
      <c r="E17" s="53">
        <f t="shared" si="2"/>
        <v>0.74100719424460426</v>
      </c>
    </row>
    <row r="18" spans="1:11" ht="21" x14ac:dyDescent="0.35">
      <c r="A18" s="59" t="s">
        <v>35</v>
      </c>
      <c r="B18" s="50">
        <v>9</v>
      </c>
      <c r="C18" s="50">
        <f>+E4</f>
        <v>132</v>
      </c>
      <c r="D18" s="50">
        <f t="shared" si="1"/>
        <v>144.33333333333334</v>
      </c>
      <c r="E18" s="53">
        <f t="shared" si="2"/>
        <v>0.91454965357967666</v>
      </c>
    </row>
    <row r="19" spans="1:11" ht="21" x14ac:dyDescent="0.35">
      <c r="A19" s="59"/>
      <c r="B19" s="50">
        <v>10</v>
      </c>
      <c r="C19" s="50">
        <f t="shared" ref="C19:C21" si="4">+E5</f>
        <v>198</v>
      </c>
      <c r="D19" s="50">
        <f t="shared" si="1"/>
        <v>171.66666666666666</v>
      </c>
      <c r="E19" s="53">
        <f t="shared" si="2"/>
        <v>1.1533980582524272</v>
      </c>
    </row>
    <row r="20" spans="1:11" ht="21" x14ac:dyDescent="0.35">
      <c r="A20" s="59"/>
      <c r="B20" s="50">
        <v>11</v>
      </c>
      <c r="C20" s="50">
        <f t="shared" si="4"/>
        <v>185</v>
      </c>
      <c r="D20" s="50">
        <f t="shared" si="1"/>
        <v>165</v>
      </c>
      <c r="E20" s="53">
        <f t="shared" si="2"/>
        <v>1.1212121212121211</v>
      </c>
    </row>
    <row r="21" spans="1:11" ht="21" x14ac:dyDescent="0.35">
      <c r="A21" s="59"/>
      <c r="B21" s="50">
        <v>12</v>
      </c>
      <c r="C21" s="50">
        <f t="shared" si="4"/>
        <v>112</v>
      </c>
      <c r="D21" s="50">
        <f t="shared" si="1"/>
        <v>142.33333333333334</v>
      </c>
      <c r="E21" s="53">
        <f t="shared" si="2"/>
        <v>0.78688524590163933</v>
      </c>
      <c r="K21" s="55"/>
    </row>
    <row r="22" spans="1:11" ht="21" x14ac:dyDescent="0.35">
      <c r="A22" s="59" t="s">
        <v>36</v>
      </c>
      <c r="B22" s="50">
        <v>13</v>
      </c>
      <c r="C22" s="50">
        <f>+F4</f>
        <v>130</v>
      </c>
      <c r="D22" s="50">
        <f t="shared" si="1"/>
        <v>154</v>
      </c>
      <c r="E22" s="53">
        <f t="shared" si="2"/>
        <v>0.8441558441558441</v>
      </c>
    </row>
    <row r="23" spans="1:11" ht="21" x14ac:dyDescent="0.35">
      <c r="A23" s="59"/>
      <c r="B23" s="50">
        <v>14</v>
      </c>
      <c r="C23" s="50">
        <f t="shared" ref="C23:C25" si="5">+F5</f>
        <v>220</v>
      </c>
      <c r="D23" s="50">
        <f t="shared" si="1"/>
        <v>180</v>
      </c>
      <c r="E23" s="53">
        <f t="shared" si="2"/>
        <v>1.2222222222222223</v>
      </c>
    </row>
    <row r="24" spans="1:11" ht="21" x14ac:dyDescent="0.35">
      <c r="A24" s="59"/>
      <c r="B24" s="50">
        <v>15</v>
      </c>
      <c r="C24" s="50">
        <f t="shared" si="5"/>
        <v>190</v>
      </c>
      <c r="D24" s="50">
        <f t="shared" si="1"/>
        <v>173</v>
      </c>
      <c r="E24" s="53">
        <f t="shared" si="2"/>
        <v>1.0982658959537572</v>
      </c>
    </row>
    <row r="25" spans="1:11" ht="21" x14ac:dyDescent="0.35">
      <c r="A25" s="59"/>
      <c r="B25" s="50">
        <v>16</v>
      </c>
      <c r="C25" s="50">
        <f t="shared" si="5"/>
        <v>109</v>
      </c>
      <c r="D25" s="51"/>
      <c r="E25" s="51"/>
    </row>
    <row r="28" spans="1:11" ht="42" x14ac:dyDescent="0.35">
      <c r="A28" s="52" t="s">
        <v>4</v>
      </c>
      <c r="B28" s="52" t="s">
        <v>47</v>
      </c>
      <c r="G28" s="56" t="s">
        <v>48</v>
      </c>
      <c r="H28" s="56" t="s">
        <v>49</v>
      </c>
      <c r="I28" s="56" t="s">
        <v>50</v>
      </c>
      <c r="J28" s="56" t="s">
        <v>51</v>
      </c>
    </row>
    <row r="29" spans="1:11" ht="21" x14ac:dyDescent="0.35">
      <c r="A29" s="52">
        <v>1</v>
      </c>
      <c r="B29" s="54">
        <f>(E14+E18+E22)/3</f>
        <v>0.88696866224435855</v>
      </c>
      <c r="G29" s="57">
        <v>17</v>
      </c>
      <c r="H29" s="50">
        <f>1.2074*G29+142.43</f>
        <v>162.95580000000001</v>
      </c>
      <c r="I29" s="53">
        <f>B29</f>
        <v>0.88696866224435855</v>
      </c>
      <c r="J29" s="50">
        <f>H29*I29</f>
        <v>144.53668793095926</v>
      </c>
    </row>
    <row r="30" spans="1:11" ht="21" x14ac:dyDescent="0.35">
      <c r="A30" s="52">
        <v>2</v>
      </c>
      <c r="B30" s="54">
        <f>(E11+E15+E19+E23)/4</f>
        <v>1.1915128465687037</v>
      </c>
      <c r="G30" s="57">
        <v>18</v>
      </c>
      <c r="H30" s="50">
        <f t="shared" ref="H30:H32" si="6">1.2074*G30+142.43</f>
        <v>164.16320000000002</v>
      </c>
      <c r="I30" s="53">
        <f>B30</f>
        <v>1.1915128465687037</v>
      </c>
      <c r="J30" s="50">
        <f t="shared" ref="J30:J32" si="7">H30*I30</f>
        <v>195.60256173382743</v>
      </c>
    </row>
    <row r="31" spans="1:11" ht="21" x14ac:dyDescent="0.35">
      <c r="A31" s="52">
        <v>3</v>
      </c>
      <c r="B31" s="54">
        <f>(E12+E16+E20+E24)/4</f>
        <v>1.1249713699837687</v>
      </c>
      <c r="G31" s="57">
        <v>19</v>
      </c>
      <c r="H31" s="50">
        <f t="shared" si="6"/>
        <v>165.3706</v>
      </c>
      <c r="I31" s="53">
        <f>B31</f>
        <v>1.1249713699837687</v>
      </c>
      <c r="J31" s="50">
        <f t="shared" si="7"/>
        <v>186.03719043703782</v>
      </c>
    </row>
    <row r="32" spans="1:11" ht="21" x14ac:dyDescent="0.35">
      <c r="A32" s="52">
        <v>4</v>
      </c>
      <c r="B32" s="54">
        <f>(E13+E17+E21)/3</f>
        <v>0.73298169057506357</v>
      </c>
      <c r="G32" s="57">
        <v>20</v>
      </c>
      <c r="H32" s="50">
        <f t="shared" si="6"/>
        <v>166.578</v>
      </c>
      <c r="I32" s="53">
        <f>B32</f>
        <v>0.73298169057506357</v>
      </c>
      <c r="J32" s="50">
        <f t="shared" si="7"/>
        <v>122.09862405261295</v>
      </c>
    </row>
  </sheetData>
  <mergeCells count="4">
    <mergeCell ref="A10:A13"/>
    <mergeCell ref="A14:A17"/>
    <mergeCell ref="A18:A21"/>
    <mergeCell ref="A22:A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7861D-A8B9-4D90-955B-B03F07EE39FD}">
  <dimension ref="A2:H28"/>
  <sheetViews>
    <sheetView showGridLines="0" workbookViewId="0">
      <selection activeCell="I29" sqref="I29"/>
    </sheetView>
  </sheetViews>
  <sheetFormatPr baseColWidth="10" defaultRowHeight="15" x14ac:dyDescent="0.25"/>
  <cols>
    <col min="1" max="1" width="24.42578125" customWidth="1"/>
    <col min="2" max="3" width="15.42578125" bestFit="1" customWidth="1"/>
    <col min="4" max="4" width="25" customWidth="1"/>
    <col min="5" max="5" width="18.140625" customWidth="1"/>
    <col min="6" max="6" width="19.28515625" bestFit="1" customWidth="1"/>
    <col min="8" max="8" width="13.85546875" bestFit="1" customWidth="1"/>
  </cols>
  <sheetData>
    <row r="2" spans="1:8" x14ac:dyDescent="0.25">
      <c r="F2" s="36" t="s">
        <v>27</v>
      </c>
    </row>
    <row r="3" spans="1:8" x14ac:dyDescent="0.25">
      <c r="A3" s="1"/>
      <c r="B3" s="2" t="s">
        <v>7</v>
      </c>
      <c r="C3" s="2" t="s">
        <v>8</v>
      </c>
      <c r="D3" s="2" t="s">
        <v>9</v>
      </c>
      <c r="E3" s="2" t="s">
        <v>10</v>
      </c>
      <c r="F3" s="36" t="s">
        <v>28</v>
      </c>
    </row>
    <row r="4" spans="1:8" x14ac:dyDescent="0.25">
      <c r="A4" s="1" t="s">
        <v>13</v>
      </c>
      <c r="B4" s="2">
        <v>3700</v>
      </c>
      <c r="C4" s="2">
        <f>B4*0.9</f>
        <v>3330</v>
      </c>
      <c r="D4" s="2">
        <f>C4*0.9</f>
        <v>2997</v>
      </c>
      <c r="E4" s="2">
        <f>D4</f>
        <v>2997</v>
      </c>
      <c r="F4" s="36" t="s">
        <v>29</v>
      </c>
    </row>
    <row r="5" spans="1:8" x14ac:dyDescent="0.25">
      <c r="A5" s="1" t="s">
        <v>14</v>
      </c>
      <c r="B5" s="19">
        <v>520</v>
      </c>
      <c r="C5" s="19">
        <v>520</v>
      </c>
      <c r="D5" s="19">
        <v>520</v>
      </c>
      <c r="E5" s="19">
        <f>D5*0.95</f>
        <v>494</v>
      </c>
    </row>
    <row r="6" spans="1:8" x14ac:dyDescent="0.25">
      <c r="A6" s="1" t="s">
        <v>15</v>
      </c>
      <c r="B6" s="62">
        <f t="shared" ref="B6:E6" si="0">B4*B5</f>
        <v>1924000</v>
      </c>
      <c r="C6" s="62">
        <f t="shared" si="0"/>
        <v>1731600</v>
      </c>
      <c r="D6" s="62">
        <f t="shared" si="0"/>
        <v>1558440</v>
      </c>
      <c r="E6" s="62">
        <f t="shared" si="0"/>
        <v>1480518</v>
      </c>
      <c r="H6" s="20">
        <f>SUM(B6:E6)*1.2</f>
        <v>8033469.5999999996</v>
      </c>
    </row>
    <row r="7" spans="1:8" x14ac:dyDescent="0.25">
      <c r="A7" s="25" t="s">
        <v>23</v>
      </c>
      <c r="B7" s="63">
        <f t="shared" ref="B7:E7" si="1">B6*1.2</f>
        <v>2308800</v>
      </c>
      <c r="C7" s="64">
        <f t="shared" si="1"/>
        <v>2077920</v>
      </c>
      <c r="D7" s="65">
        <f t="shared" si="1"/>
        <v>1870128</v>
      </c>
      <c r="E7" s="66">
        <f t="shared" si="1"/>
        <v>1776621.5999999999</v>
      </c>
    </row>
    <row r="8" spans="1:8" x14ac:dyDescent="0.25">
      <c r="A8" s="34"/>
      <c r="B8" s="35"/>
      <c r="C8" s="35"/>
      <c r="D8" s="35"/>
      <c r="E8" s="35"/>
    </row>
    <row r="9" spans="1:8" x14ac:dyDescent="0.25">
      <c r="A9" s="34"/>
      <c r="B9" s="35"/>
      <c r="C9" s="35"/>
      <c r="D9" s="35"/>
      <c r="E9" s="35"/>
    </row>
    <row r="13" spans="1:8" x14ac:dyDescent="0.25">
      <c r="A13" s="21"/>
      <c r="B13" s="2" t="s">
        <v>7</v>
      </c>
      <c r="C13" s="2" t="s">
        <v>8</v>
      </c>
      <c r="D13" s="2" t="s">
        <v>9</v>
      </c>
      <c r="E13" s="2" t="s">
        <v>10</v>
      </c>
      <c r="F13" s="2" t="s">
        <v>52</v>
      </c>
    </row>
    <row r="14" spans="1:8" x14ac:dyDescent="0.25">
      <c r="A14" s="39" t="s">
        <v>16</v>
      </c>
      <c r="B14" s="32">
        <f>875000+B25</f>
        <v>2247800</v>
      </c>
      <c r="C14" s="32">
        <f>B26</f>
        <v>873600</v>
      </c>
      <c r="D14" s="22"/>
      <c r="E14" s="22"/>
      <c r="F14" s="22"/>
    </row>
    <row r="15" spans="1:8" x14ac:dyDescent="0.25">
      <c r="A15" s="21" t="s">
        <v>17</v>
      </c>
      <c r="B15" s="22"/>
      <c r="C15" s="22"/>
      <c r="D15" s="22"/>
      <c r="E15" s="22"/>
      <c r="F15" s="22"/>
    </row>
    <row r="16" spans="1:8" x14ac:dyDescent="0.25">
      <c r="A16" s="21" t="s">
        <v>53</v>
      </c>
      <c r="B16" s="26">
        <f>$B$7*0.1</f>
        <v>230880</v>
      </c>
      <c r="C16" s="26">
        <f>$B$7*0.55</f>
        <v>1269840</v>
      </c>
      <c r="D16" s="26">
        <f>$B$7*0.35</f>
        <v>808080</v>
      </c>
      <c r="E16" s="61"/>
      <c r="F16" s="22"/>
    </row>
    <row r="17" spans="1:8" x14ac:dyDescent="0.25">
      <c r="A17" s="21" t="s">
        <v>54</v>
      </c>
      <c r="B17" s="22"/>
      <c r="C17" s="29">
        <f>$C$7*0.1</f>
        <v>207792</v>
      </c>
      <c r="D17" s="29">
        <f>$C$7*0.55</f>
        <v>1142856</v>
      </c>
      <c r="E17" s="29">
        <f>$C$7*0.35</f>
        <v>727272</v>
      </c>
      <c r="F17" s="22"/>
    </row>
    <row r="18" spans="1:8" x14ac:dyDescent="0.25">
      <c r="A18" s="21" t="s">
        <v>55</v>
      </c>
      <c r="B18" s="22"/>
      <c r="C18" s="22"/>
      <c r="D18" s="30">
        <f>$D$7*0.1</f>
        <v>187012.80000000002</v>
      </c>
      <c r="E18" s="30">
        <f>$D$7*0.55</f>
        <v>1028570.4000000001</v>
      </c>
      <c r="F18" s="30">
        <f>$D$7*0.35</f>
        <v>654544.79999999993</v>
      </c>
    </row>
    <row r="19" spans="1:8" x14ac:dyDescent="0.25">
      <c r="A19" s="21" t="s">
        <v>56</v>
      </c>
      <c r="B19" s="22"/>
      <c r="C19" s="22"/>
      <c r="D19" s="61"/>
      <c r="E19" s="28">
        <f>$E$7*0.1</f>
        <v>177662.16</v>
      </c>
      <c r="F19" s="28">
        <f>$E$7*0.9</f>
        <v>1598959.44</v>
      </c>
    </row>
    <row r="20" spans="1:8" x14ac:dyDescent="0.25">
      <c r="A20" s="21" t="s">
        <v>0</v>
      </c>
      <c r="B20" s="40">
        <f>SUM(B14:B19)</f>
        <v>2478680</v>
      </c>
      <c r="C20" s="40">
        <f t="shared" ref="C20:F20" si="2">SUM(C14:C19)</f>
        <v>2351232</v>
      </c>
      <c r="D20" s="40">
        <f t="shared" si="2"/>
        <v>2137948.7999999998</v>
      </c>
      <c r="E20" s="40">
        <f t="shared" si="2"/>
        <v>1933504.56</v>
      </c>
      <c r="F20" s="40">
        <f t="shared" si="2"/>
        <v>2253504.2399999998</v>
      </c>
      <c r="H20" s="20"/>
    </row>
    <row r="22" spans="1:8" ht="30" x14ac:dyDescent="0.25">
      <c r="A22" s="23" t="s">
        <v>18</v>
      </c>
      <c r="B22" s="16">
        <f>2500000*0.35</f>
        <v>875000</v>
      </c>
    </row>
    <row r="24" spans="1:8" x14ac:dyDescent="0.25">
      <c r="A24" s="60" t="s">
        <v>19</v>
      </c>
      <c r="B24" s="60"/>
      <c r="D24" s="24" t="s">
        <v>20</v>
      </c>
      <c r="E24" s="33">
        <f>2246400/0.9</f>
        <v>2496000</v>
      </c>
    </row>
    <row r="25" spans="1:8" x14ac:dyDescent="0.25">
      <c r="A25" s="16" t="s">
        <v>22</v>
      </c>
      <c r="B25" s="16">
        <f>+E24*0.55</f>
        <v>1372800</v>
      </c>
    </row>
    <row r="26" spans="1:8" x14ac:dyDescent="0.25">
      <c r="A26" s="16" t="s">
        <v>21</v>
      </c>
      <c r="B26" s="16">
        <f>B25/0.55*0.35</f>
        <v>873600</v>
      </c>
      <c r="D26" s="24" t="s">
        <v>24</v>
      </c>
      <c r="E26" s="27">
        <f>E24*0.1</f>
        <v>249600</v>
      </c>
    </row>
    <row r="27" spans="1:8" x14ac:dyDescent="0.25">
      <c r="A27" s="16" t="s">
        <v>0</v>
      </c>
      <c r="B27" s="16">
        <f>B25+B26</f>
        <v>2246400</v>
      </c>
      <c r="D27" t="s">
        <v>25</v>
      </c>
      <c r="E27" s="27">
        <f>E24*0.55</f>
        <v>1372800</v>
      </c>
    </row>
    <row r="28" spans="1:8" x14ac:dyDescent="0.25">
      <c r="D28" s="24" t="s">
        <v>26</v>
      </c>
      <c r="E28" s="27">
        <f>E24*0.35</f>
        <v>873600</v>
      </c>
    </row>
  </sheetData>
  <mergeCells count="1">
    <mergeCell ref="A24:B2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D2CB4-8787-4FB0-B569-A6C3CF0C5161}">
  <dimension ref="A3:M52"/>
  <sheetViews>
    <sheetView showGridLines="0" workbookViewId="0">
      <selection activeCell="K17" sqref="K17"/>
    </sheetView>
  </sheetViews>
  <sheetFormatPr baseColWidth="10" defaultRowHeight="15" x14ac:dyDescent="0.25"/>
  <cols>
    <col min="5" max="5" width="13.5703125" customWidth="1"/>
  </cols>
  <sheetData>
    <row r="3" spans="2:5" x14ac:dyDescent="0.25">
      <c r="B3" s="67" t="s">
        <v>57</v>
      </c>
      <c r="C3" s="67">
        <v>2020</v>
      </c>
      <c r="D3" s="67">
        <v>2021</v>
      </c>
      <c r="E3" s="67">
        <v>2022</v>
      </c>
    </row>
    <row r="4" spans="2:5" x14ac:dyDescent="0.25">
      <c r="B4" s="67" t="s">
        <v>58</v>
      </c>
      <c r="C4" s="1">
        <v>1200</v>
      </c>
      <c r="D4" s="1">
        <v>2301</v>
      </c>
      <c r="E4" s="1">
        <v>4087</v>
      </c>
    </row>
    <row r="5" spans="2:5" x14ac:dyDescent="0.25">
      <c r="B5" s="67" t="s">
        <v>59</v>
      </c>
      <c r="C5" s="1">
        <v>1284</v>
      </c>
      <c r="D5" s="1">
        <v>2370</v>
      </c>
      <c r="E5" s="1">
        <v>4374</v>
      </c>
    </row>
    <row r="6" spans="2:5" x14ac:dyDescent="0.25">
      <c r="B6" s="67" t="s">
        <v>60</v>
      </c>
      <c r="C6" s="1">
        <v>1336</v>
      </c>
      <c r="D6" s="1">
        <v>2536</v>
      </c>
      <c r="E6" s="1">
        <v>4636</v>
      </c>
    </row>
    <row r="7" spans="2:5" x14ac:dyDescent="0.25">
      <c r="B7" s="67" t="s">
        <v>61</v>
      </c>
      <c r="C7" s="1">
        <v>1389</v>
      </c>
      <c r="D7" s="1">
        <v>2713</v>
      </c>
      <c r="E7" s="1">
        <v>4960</v>
      </c>
    </row>
    <row r="8" spans="2:5" x14ac:dyDescent="0.25">
      <c r="B8" s="67" t="s">
        <v>62</v>
      </c>
      <c r="C8" s="1">
        <v>1486</v>
      </c>
      <c r="D8" s="1">
        <v>2822</v>
      </c>
      <c r="E8" s="1">
        <v>5258</v>
      </c>
    </row>
    <row r="9" spans="2:5" x14ac:dyDescent="0.25">
      <c r="B9" s="67" t="s">
        <v>63</v>
      </c>
      <c r="C9" s="1">
        <v>1591</v>
      </c>
      <c r="D9" s="1">
        <v>2963</v>
      </c>
      <c r="E9" s="1">
        <v>5416</v>
      </c>
    </row>
    <row r="10" spans="2:5" x14ac:dyDescent="0.25">
      <c r="B10" s="67" t="s">
        <v>64</v>
      </c>
      <c r="C10" s="1">
        <v>1638</v>
      </c>
      <c r="D10" s="1">
        <v>3141</v>
      </c>
      <c r="E10" s="1">
        <v>5741</v>
      </c>
    </row>
    <row r="11" spans="2:5" x14ac:dyDescent="0.25">
      <c r="B11" s="67" t="s">
        <v>65</v>
      </c>
      <c r="C11" s="1">
        <v>1736</v>
      </c>
      <c r="D11" s="1">
        <v>3329</v>
      </c>
      <c r="E11" s="1">
        <v>6028</v>
      </c>
    </row>
    <row r="12" spans="2:5" x14ac:dyDescent="0.25">
      <c r="B12" s="67" t="s">
        <v>66</v>
      </c>
      <c r="C12" s="1">
        <v>1823</v>
      </c>
      <c r="D12" s="1">
        <v>3462</v>
      </c>
      <c r="E12" s="1">
        <v>6389</v>
      </c>
    </row>
    <row r="13" spans="2:5" x14ac:dyDescent="0.25">
      <c r="B13" s="67" t="s">
        <v>67</v>
      </c>
      <c r="C13" s="1">
        <v>1896</v>
      </c>
      <c r="D13" s="1">
        <v>3566</v>
      </c>
      <c r="E13" s="1">
        <v>6773</v>
      </c>
    </row>
    <row r="14" spans="2:5" x14ac:dyDescent="0.25">
      <c r="B14" s="67" t="s">
        <v>68</v>
      </c>
      <c r="C14" s="1">
        <v>2010</v>
      </c>
      <c r="D14" s="1">
        <v>3709</v>
      </c>
      <c r="E14" s="1">
        <v>7247</v>
      </c>
    </row>
    <row r="15" spans="2:5" x14ac:dyDescent="0.25">
      <c r="B15" s="67" t="s">
        <v>69</v>
      </c>
      <c r="C15" s="1">
        <v>2151</v>
      </c>
      <c r="D15" s="1">
        <v>3820</v>
      </c>
      <c r="E15" s="1">
        <v>7537</v>
      </c>
    </row>
    <row r="17" spans="1:13" x14ac:dyDescent="0.25">
      <c r="A17" s="1">
        <v>1</v>
      </c>
      <c r="B17" s="1">
        <v>1200</v>
      </c>
    </row>
    <row r="18" spans="1:13" x14ac:dyDescent="0.25">
      <c r="A18" s="1">
        <v>2</v>
      </c>
      <c r="B18" s="1">
        <v>1284</v>
      </c>
    </row>
    <row r="19" spans="1:13" x14ac:dyDescent="0.25">
      <c r="A19" s="1">
        <v>3</v>
      </c>
      <c r="B19" s="1">
        <v>1336</v>
      </c>
      <c r="D19" s="68" t="s">
        <v>70</v>
      </c>
      <c r="E19" s="68"/>
      <c r="F19" s="68">
        <f>CORREL(A17:A52,B17:B52)</f>
        <v>0.97047894309959892</v>
      </c>
    </row>
    <row r="20" spans="1:13" x14ac:dyDescent="0.25">
      <c r="A20" s="1">
        <v>4</v>
      </c>
      <c r="B20" s="1">
        <v>1389</v>
      </c>
    </row>
    <row r="21" spans="1:13" x14ac:dyDescent="0.25">
      <c r="A21" s="1">
        <v>5</v>
      </c>
      <c r="B21" s="1">
        <v>1486</v>
      </c>
    </row>
    <row r="22" spans="1:13" x14ac:dyDescent="0.25">
      <c r="A22" s="1">
        <v>6</v>
      </c>
      <c r="B22" s="1">
        <v>1591</v>
      </c>
    </row>
    <row r="23" spans="1:13" x14ac:dyDescent="0.25">
      <c r="A23" s="1">
        <v>7</v>
      </c>
      <c r="B23" s="1">
        <v>1638</v>
      </c>
    </row>
    <row r="24" spans="1:13" x14ac:dyDescent="0.25">
      <c r="A24" s="1">
        <v>8</v>
      </c>
      <c r="B24" s="1">
        <v>1736</v>
      </c>
    </row>
    <row r="25" spans="1:13" x14ac:dyDescent="0.25">
      <c r="A25" s="1">
        <v>9</v>
      </c>
      <c r="B25" s="1">
        <v>1823</v>
      </c>
    </row>
    <row r="26" spans="1:13" x14ac:dyDescent="0.25">
      <c r="A26" s="1">
        <v>10</v>
      </c>
      <c r="B26" s="1">
        <v>1896</v>
      </c>
    </row>
    <row r="27" spans="1:13" x14ac:dyDescent="0.25">
      <c r="A27" s="1">
        <v>11</v>
      </c>
      <c r="B27" s="1">
        <v>2010</v>
      </c>
    </row>
    <row r="28" spans="1:13" x14ac:dyDescent="0.25">
      <c r="A28" s="1">
        <v>12</v>
      </c>
      <c r="B28" s="1">
        <v>2151</v>
      </c>
    </row>
    <row r="29" spans="1:13" x14ac:dyDescent="0.25">
      <c r="A29" s="1">
        <v>13</v>
      </c>
      <c r="B29" s="1">
        <v>2301</v>
      </c>
    </row>
    <row r="30" spans="1:13" x14ac:dyDescent="0.25">
      <c r="A30" s="1">
        <v>14</v>
      </c>
      <c r="B30" s="1">
        <v>2370</v>
      </c>
      <c r="K30" s="69" t="s">
        <v>71</v>
      </c>
      <c r="L30" s="69"/>
      <c r="M30" s="69"/>
    </row>
    <row r="31" spans="1:13" x14ac:dyDescent="0.25">
      <c r="A31" s="1">
        <v>15</v>
      </c>
      <c r="B31" s="1">
        <v>2536</v>
      </c>
      <c r="K31" s="4">
        <v>37</v>
      </c>
      <c r="L31" s="4" t="s">
        <v>58</v>
      </c>
      <c r="M31" s="4">
        <f>170.86*K31+303.47</f>
        <v>6625.2900000000009</v>
      </c>
    </row>
    <row r="32" spans="1:13" x14ac:dyDescent="0.25">
      <c r="A32" s="1">
        <v>16</v>
      </c>
      <c r="B32" s="1">
        <v>2713</v>
      </c>
      <c r="K32" s="4">
        <v>38</v>
      </c>
      <c r="L32" s="4" t="s">
        <v>59</v>
      </c>
      <c r="M32" s="4">
        <f t="shared" ref="M32:M42" si="0">170.86*K32+303.47</f>
        <v>6796.1500000000005</v>
      </c>
    </row>
    <row r="33" spans="1:13" x14ac:dyDescent="0.25">
      <c r="A33" s="1">
        <v>17</v>
      </c>
      <c r="B33" s="1">
        <v>2822</v>
      </c>
      <c r="K33" s="4">
        <v>39</v>
      </c>
      <c r="L33" s="4" t="s">
        <v>60</v>
      </c>
      <c r="M33" s="4">
        <f t="shared" si="0"/>
        <v>6967.0100000000011</v>
      </c>
    </row>
    <row r="34" spans="1:13" x14ac:dyDescent="0.25">
      <c r="A34" s="1">
        <v>18</v>
      </c>
      <c r="B34" s="1">
        <v>2963</v>
      </c>
      <c r="K34" s="4">
        <v>40</v>
      </c>
      <c r="L34" s="4" t="s">
        <v>61</v>
      </c>
      <c r="M34" s="4">
        <f t="shared" si="0"/>
        <v>7137.8700000000008</v>
      </c>
    </row>
    <row r="35" spans="1:13" x14ac:dyDescent="0.25">
      <c r="A35" s="1">
        <v>19</v>
      </c>
      <c r="B35" s="1">
        <v>3141</v>
      </c>
      <c r="K35" s="4">
        <v>41</v>
      </c>
      <c r="L35" s="4" t="s">
        <v>62</v>
      </c>
      <c r="M35" s="4">
        <f t="shared" si="0"/>
        <v>7308.7300000000005</v>
      </c>
    </row>
    <row r="36" spans="1:13" x14ac:dyDescent="0.25">
      <c r="A36" s="1">
        <v>20</v>
      </c>
      <c r="B36" s="1">
        <v>3329</v>
      </c>
      <c r="K36" s="4">
        <v>42</v>
      </c>
      <c r="L36" s="4" t="s">
        <v>63</v>
      </c>
      <c r="M36" s="4">
        <f t="shared" si="0"/>
        <v>7479.5900000000011</v>
      </c>
    </row>
    <row r="37" spans="1:13" x14ac:dyDescent="0.25">
      <c r="A37" s="1">
        <v>21</v>
      </c>
      <c r="B37" s="1">
        <v>3462</v>
      </c>
      <c r="K37" s="4">
        <v>43</v>
      </c>
      <c r="L37" s="4" t="s">
        <v>64</v>
      </c>
      <c r="M37" s="4">
        <f t="shared" si="0"/>
        <v>7650.4500000000007</v>
      </c>
    </row>
    <row r="38" spans="1:13" x14ac:dyDescent="0.25">
      <c r="A38" s="1">
        <v>22</v>
      </c>
      <c r="B38" s="1">
        <v>3566</v>
      </c>
      <c r="K38" s="4">
        <v>44</v>
      </c>
      <c r="L38" s="4" t="s">
        <v>65</v>
      </c>
      <c r="M38" s="4">
        <f t="shared" si="0"/>
        <v>7821.31</v>
      </c>
    </row>
    <row r="39" spans="1:13" x14ac:dyDescent="0.25">
      <c r="A39" s="1">
        <v>23</v>
      </c>
      <c r="B39" s="1">
        <v>3709</v>
      </c>
      <c r="K39" s="4">
        <v>45</v>
      </c>
      <c r="L39" s="4" t="s">
        <v>66</v>
      </c>
      <c r="M39" s="4">
        <f t="shared" si="0"/>
        <v>7992.170000000001</v>
      </c>
    </row>
    <row r="40" spans="1:13" x14ac:dyDescent="0.25">
      <c r="A40" s="1">
        <v>24</v>
      </c>
      <c r="B40" s="1">
        <v>3820</v>
      </c>
      <c r="K40" s="4">
        <v>46</v>
      </c>
      <c r="L40" s="4" t="s">
        <v>67</v>
      </c>
      <c r="M40" s="4">
        <f t="shared" si="0"/>
        <v>8163.0300000000007</v>
      </c>
    </row>
    <row r="41" spans="1:13" x14ac:dyDescent="0.25">
      <c r="A41" s="1">
        <v>25</v>
      </c>
      <c r="B41" s="1">
        <v>4087</v>
      </c>
      <c r="K41" s="4">
        <v>47</v>
      </c>
      <c r="L41" s="4" t="s">
        <v>68</v>
      </c>
      <c r="M41" s="4">
        <f t="shared" si="0"/>
        <v>8333.8900000000012</v>
      </c>
    </row>
    <row r="42" spans="1:13" x14ac:dyDescent="0.25">
      <c r="A42" s="1">
        <v>26</v>
      </c>
      <c r="B42" s="1">
        <v>4374</v>
      </c>
      <c r="K42" s="4">
        <v>48</v>
      </c>
      <c r="L42" s="4" t="s">
        <v>69</v>
      </c>
      <c r="M42" s="4">
        <f t="shared" si="0"/>
        <v>8504.75</v>
      </c>
    </row>
    <row r="43" spans="1:13" x14ac:dyDescent="0.25">
      <c r="A43" s="1">
        <v>27</v>
      </c>
      <c r="B43" s="1">
        <v>4636</v>
      </c>
    </row>
    <row r="44" spans="1:13" x14ac:dyDescent="0.25">
      <c r="A44" s="1">
        <v>28</v>
      </c>
      <c r="B44" s="1">
        <v>4960</v>
      </c>
    </row>
    <row r="45" spans="1:13" x14ac:dyDescent="0.25">
      <c r="A45" s="1">
        <v>29</v>
      </c>
      <c r="B45" s="1">
        <v>5258</v>
      </c>
    </row>
    <row r="46" spans="1:13" x14ac:dyDescent="0.25">
      <c r="A46" s="1">
        <v>30</v>
      </c>
      <c r="B46" s="1">
        <v>5416</v>
      </c>
    </row>
    <row r="47" spans="1:13" x14ac:dyDescent="0.25">
      <c r="A47" s="1">
        <v>31</v>
      </c>
      <c r="B47" s="1">
        <v>5741</v>
      </c>
    </row>
    <row r="48" spans="1:13" x14ac:dyDescent="0.25">
      <c r="A48" s="1">
        <v>32</v>
      </c>
      <c r="B48" s="1">
        <v>6028</v>
      </c>
    </row>
    <row r="49" spans="1:2" x14ac:dyDescent="0.25">
      <c r="A49" s="1">
        <v>33</v>
      </c>
      <c r="B49" s="1">
        <v>6389</v>
      </c>
    </row>
    <row r="50" spans="1:2" x14ac:dyDescent="0.25">
      <c r="A50" s="1">
        <v>34</v>
      </c>
      <c r="B50" s="1">
        <v>6773</v>
      </c>
    </row>
    <row r="51" spans="1:2" x14ac:dyDescent="0.25">
      <c r="A51" s="1">
        <v>35</v>
      </c>
      <c r="B51" s="1">
        <v>7247</v>
      </c>
    </row>
    <row r="52" spans="1:2" x14ac:dyDescent="0.25">
      <c r="A52" s="1">
        <v>36</v>
      </c>
      <c r="B52" s="1">
        <v>7537</v>
      </c>
    </row>
  </sheetData>
  <mergeCells count="1">
    <mergeCell ref="K30:M3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76CC-EA37-4147-AD45-A09386AC82F3}">
  <dimension ref="A6:I44"/>
  <sheetViews>
    <sheetView showGridLines="0" topLeftCell="A10" workbookViewId="0">
      <selection activeCell="M38" sqref="M38"/>
    </sheetView>
  </sheetViews>
  <sheetFormatPr baseColWidth="10" defaultRowHeight="15" x14ac:dyDescent="0.25"/>
  <cols>
    <col min="4" max="4" width="17.28515625" customWidth="1"/>
    <col min="9" max="9" width="15.28515625" customWidth="1"/>
  </cols>
  <sheetData>
    <row r="6" spans="1:4" x14ac:dyDescent="0.25">
      <c r="A6" s="2" t="s">
        <v>5</v>
      </c>
      <c r="B6" s="2" t="s">
        <v>2</v>
      </c>
      <c r="C6" s="1" t="s">
        <v>72</v>
      </c>
      <c r="D6" s="1" t="s">
        <v>73</v>
      </c>
    </row>
    <row r="7" spans="1:4" x14ac:dyDescent="0.25">
      <c r="A7" s="70">
        <v>1</v>
      </c>
      <c r="B7" s="1">
        <v>3750</v>
      </c>
      <c r="C7" s="71"/>
      <c r="D7" s="71"/>
    </row>
    <row r="8" spans="1:4" x14ac:dyDescent="0.25">
      <c r="A8" s="70">
        <v>2</v>
      </c>
      <c r="B8" s="1">
        <v>3000</v>
      </c>
      <c r="C8" s="71"/>
      <c r="D8" s="71"/>
    </row>
    <row r="9" spans="1:4" x14ac:dyDescent="0.25">
      <c r="A9" s="70">
        <v>3</v>
      </c>
      <c r="B9" s="1">
        <v>4250</v>
      </c>
      <c r="C9" s="71"/>
      <c r="D9" s="71"/>
    </row>
    <row r="10" spans="1:4" x14ac:dyDescent="0.25">
      <c r="A10" s="70">
        <v>4</v>
      </c>
      <c r="B10" s="1">
        <v>3500</v>
      </c>
      <c r="C10" s="1">
        <f>AVERAGE(B7:B13)</f>
        <v>3053.5714285714284</v>
      </c>
      <c r="D10" s="1">
        <f>B10/C10</f>
        <v>1.1461988304093569</v>
      </c>
    </row>
    <row r="11" spans="1:4" x14ac:dyDescent="0.25">
      <c r="A11" s="70">
        <v>5</v>
      </c>
      <c r="B11" s="1">
        <v>2375</v>
      </c>
      <c r="C11" s="1">
        <f>AVERAGE(B8:B14)</f>
        <v>2750</v>
      </c>
      <c r="D11" s="1">
        <f t="shared" ref="D11:D27" si="0">B11/C11</f>
        <v>0.86363636363636365</v>
      </c>
    </row>
    <row r="12" spans="1:4" x14ac:dyDescent="0.25">
      <c r="A12" s="70">
        <v>6</v>
      </c>
      <c r="B12" s="1">
        <v>2500</v>
      </c>
      <c r="C12" s="1">
        <f>AVERAGE(B9:B15)</f>
        <v>2785.7142857142858</v>
      </c>
      <c r="D12" s="1">
        <f t="shared" si="0"/>
        <v>0.89743589743589747</v>
      </c>
    </row>
    <row r="13" spans="1:4" x14ac:dyDescent="0.25">
      <c r="A13" s="70">
        <v>7</v>
      </c>
      <c r="B13" s="1">
        <v>2000</v>
      </c>
      <c r="C13" s="1">
        <f>AVERAGE(B10:B16)</f>
        <v>2821.4285714285716</v>
      </c>
      <c r="D13" s="1">
        <f t="shared" si="0"/>
        <v>0.70886075949367089</v>
      </c>
    </row>
    <row r="14" spans="1:4" x14ac:dyDescent="0.25">
      <c r="A14" s="70">
        <v>8</v>
      </c>
      <c r="B14" s="1">
        <v>1625</v>
      </c>
      <c r="C14" s="1">
        <f>AVERAGE(B11:B17)</f>
        <v>3000</v>
      </c>
      <c r="D14" s="1">
        <f t="shared" si="0"/>
        <v>0.54166666666666663</v>
      </c>
    </row>
    <row r="15" spans="1:4" x14ac:dyDescent="0.25">
      <c r="A15" s="70">
        <v>9</v>
      </c>
      <c r="B15" s="1">
        <v>3250</v>
      </c>
      <c r="C15" s="1">
        <f>AVERAGE(B12:B18)</f>
        <v>3410.7142857142858</v>
      </c>
      <c r="D15" s="1">
        <f t="shared" si="0"/>
        <v>0.95287958115183247</v>
      </c>
    </row>
    <row r="16" spans="1:4" x14ac:dyDescent="0.25">
      <c r="A16" s="70">
        <v>10</v>
      </c>
      <c r="B16" s="1">
        <v>4500</v>
      </c>
      <c r="C16" s="1">
        <f>AVERAGE(B13:B19)</f>
        <v>3596.4285714285716</v>
      </c>
      <c r="D16" s="1">
        <f t="shared" si="0"/>
        <v>1.2512413108242304</v>
      </c>
    </row>
    <row r="17" spans="1:9" x14ac:dyDescent="0.25">
      <c r="A17" s="70">
        <v>11</v>
      </c>
      <c r="B17" s="1">
        <v>4750</v>
      </c>
      <c r="C17" s="1">
        <f>AVERAGE(B14:B20)</f>
        <v>3757.1428571428573</v>
      </c>
      <c r="D17" s="1">
        <f t="shared" si="0"/>
        <v>1.2642585551330798</v>
      </c>
    </row>
    <row r="18" spans="1:9" x14ac:dyDescent="0.25">
      <c r="A18" s="70">
        <v>12</v>
      </c>
      <c r="B18" s="1">
        <v>5250</v>
      </c>
      <c r="C18" s="1">
        <f>AVERAGE(B15:B21)</f>
        <v>4114.2857142857147</v>
      </c>
      <c r="D18" s="1">
        <f t="shared" si="0"/>
        <v>1.2760416666666665</v>
      </c>
    </row>
    <row r="19" spans="1:9" x14ac:dyDescent="0.25">
      <c r="A19" s="70">
        <v>13</v>
      </c>
      <c r="B19" s="1">
        <v>3800</v>
      </c>
      <c r="C19" s="1">
        <f>AVERAGE(B16:B22)</f>
        <v>4078.5714285714284</v>
      </c>
      <c r="D19" s="1">
        <f t="shared" si="0"/>
        <v>0.93169877408056045</v>
      </c>
    </row>
    <row r="20" spans="1:9" x14ac:dyDescent="0.25">
      <c r="A20" s="70">
        <v>14</v>
      </c>
      <c r="B20" s="1">
        <v>3125</v>
      </c>
      <c r="C20" s="1">
        <f>AVERAGE(B17:B23)</f>
        <v>3792.8571428571427</v>
      </c>
      <c r="D20" s="1">
        <f t="shared" si="0"/>
        <v>0.82391713747645956</v>
      </c>
    </row>
    <row r="21" spans="1:9" x14ac:dyDescent="0.25">
      <c r="A21" s="70">
        <v>15</v>
      </c>
      <c r="B21" s="1">
        <v>4125</v>
      </c>
      <c r="C21" s="1">
        <f>AVERAGE(B18:B24)</f>
        <v>3453.5714285714284</v>
      </c>
      <c r="D21" s="1">
        <f t="shared" si="0"/>
        <v>1.1944157187176836</v>
      </c>
    </row>
    <row r="22" spans="1:9" x14ac:dyDescent="0.25">
      <c r="A22" s="70">
        <v>16</v>
      </c>
      <c r="B22" s="1">
        <v>3000</v>
      </c>
      <c r="C22" s="1">
        <f>AVERAGE(B19:B25)</f>
        <v>3007.1428571428573</v>
      </c>
      <c r="D22" s="1">
        <f t="shared" si="0"/>
        <v>0.99762470308788587</v>
      </c>
    </row>
    <row r="23" spans="1:9" x14ac:dyDescent="0.25">
      <c r="A23" s="70">
        <v>17</v>
      </c>
      <c r="B23" s="1">
        <v>2500</v>
      </c>
      <c r="C23" s="1">
        <f>AVERAGE(B20:B26)</f>
        <v>2714.2857142857142</v>
      </c>
      <c r="D23" s="1">
        <f t="shared" si="0"/>
        <v>0.92105263157894735</v>
      </c>
    </row>
    <row r="24" spans="1:9" x14ac:dyDescent="0.25">
      <c r="A24" s="70">
        <v>18</v>
      </c>
      <c r="B24" s="1">
        <v>2375</v>
      </c>
      <c r="C24" s="1">
        <f>AVERAGE(B21:B27)</f>
        <v>2785.7142857142858</v>
      </c>
      <c r="D24" s="1">
        <f t="shared" si="0"/>
        <v>0.85256410256410253</v>
      </c>
    </row>
    <row r="25" spans="1:9" x14ac:dyDescent="0.25">
      <c r="A25" s="70">
        <v>19</v>
      </c>
      <c r="B25" s="1">
        <v>2125</v>
      </c>
      <c r="C25" s="1">
        <f>AVERAGE(B22:B28)</f>
        <v>2892.8571428571427</v>
      </c>
      <c r="D25" s="1">
        <f t="shared" si="0"/>
        <v>0.73456790123456794</v>
      </c>
    </row>
    <row r="26" spans="1:9" x14ac:dyDescent="0.25">
      <c r="A26" s="70">
        <v>20</v>
      </c>
      <c r="B26" s="1">
        <v>1750</v>
      </c>
      <c r="C26" s="1">
        <f>AVERAGE(B23:B29)</f>
        <v>3178.5714285714284</v>
      </c>
      <c r="D26" s="1">
        <f t="shared" si="0"/>
        <v>0.550561797752809</v>
      </c>
    </row>
    <row r="27" spans="1:9" x14ac:dyDescent="0.25">
      <c r="A27" s="70">
        <v>21</v>
      </c>
      <c r="B27" s="1">
        <v>3625</v>
      </c>
      <c r="C27" s="1">
        <f>AVERAGE(B24:B30)</f>
        <v>3553.5714285714284</v>
      </c>
      <c r="D27" s="1">
        <f t="shared" si="0"/>
        <v>1.0201005025125629</v>
      </c>
    </row>
    <row r="28" spans="1:9" x14ac:dyDescent="0.25">
      <c r="A28" s="70">
        <v>22</v>
      </c>
      <c r="B28" s="1">
        <v>4875</v>
      </c>
      <c r="C28" s="71"/>
      <c r="D28" s="71"/>
    </row>
    <row r="29" spans="1:9" x14ac:dyDescent="0.25">
      <c r="A29" s="70">
        <v>23</v>
      </c>
      <c r="B29" s="1">
        <v>5000</v>
      </c>
      <c r="C29" s="71"/>
      <c r="D29" s="71"/>
    </row>
    <row r="30" spans="1:9" x14ac:dyDescent="0.25">
      <c r="A30" s="70">
        <v>24</v>
      </c>
      <c r="B30" s="1">
        <v>5125</v>
      </c>
      <c r="C30" s="71"/>
      <c r="D30" s="71"/>
    </row>
    <row r="32" spans="1:9" ht="30" x14ac:dyDescent="0.25">
      <c r="E32" s="1"/>
      <c r="F32" s="1"/>
      <c r="G32" s="23" t="s">
        <v>76</v>
      </c>
      <c r="H32" s="23" t="s">
        <v>74</v>
      </c>
      <c r="I32" s="72" t="s">
        <v>75</v>
      </c>
    </row>
    <row r="33" spans="5:9" x14ac:dyDescent="0.25">
      <c r="E33" s="1">
        <v>25</v>
      </c>
      <c r="F33" s="1" t="s">
        <v>58</v>
      </c>
      <c r="G33" s="1">
        <f>E33*32.793+3014</f>
        <v>3833.8249999999998</v>
      </c>
      <c r="H33" s="1">
        <f>D19</f>
        <v>0.93169877408056045</v>
      </c>
      <c r="I33" s="73">
        <f>G33*H33</f>
        <v>3571.9700525394046</v>
      </c>
    </row>
    <row r="34" spans="5:9" x14ac:dyDescent="0.25">
      <c r="E34" s="1">
        <v>26</v>
      </c>
      <c r="F34" s="1" t="s">
        <v>59</v>
      </c>
      <c r="G34" s="1">
        <f t="shared" ref="G34:G44" si="1">E34*32.793+3014</f>
        <v>3866.6179999999999</v>
      </c>
      <c r="H34" s="1">
        <f t="shared" ref="H34:H35" si="2">D20</f>
        <v>0.82391713747645956</v>
      </c>
      <c r="I34" s="73">
        <f t="shared" ref="I34:I44" si="3">G34*H34</f>
        <v>3185.7728342749529</v>
      </c>
    </row>
    <row r="35" spans="5:9" x14ac:dyDescent="0.25">
      <c r="E35" s="1">
        <v>27</v>
      </c>
      <c r="F35" s="1" t="s">
        <v>60</v>
      </c>
      <c r="G35" s="1">
        <f t="shared" si="1"/>
        <v>3899.4110000000001</v>
      </c>
      <c r="H35" s="1">
        <f t="shared" si="2"/>
        <v>1.1944157187176836</v>
      </c>
      <c r="I35" s="73">
        <f t="shared" si="3"/>
        <v>4657.5177921406412</v>
      </c>
    </row>
    <row r="36" spans="5:9" x14ac:dyDescent="0.25">
      <c r="E36" s="1">
        <v>28</v>
      </c>
      <c r="F36" s="1" t="s">
        <v>61</v>
      </c>
      <c r="G36" s="1">
        <f t="shared" si="1"/>
        <v>3932.2039999999997</v>
      </c>
      <c r="H36" s="1">
        <f>(D10+D22)/2</f>
        <v>1.0719117667486213</v>
      </c>
      <c r="I36" s="73">
        <f t="shared" si="3"/>
        <v>4214.9757368559958</v>
      </c>
    </row>
    <row r="37" spans="5:9" x14ac:dyDescent="0.25">
      <c r="E37" s="1">
        <v>29</v>
      </c>
      <c r="F37" s="1" t="s">
        <v>62</v>
      </c>
      <c r="G37" s="1">
        <f t="shared" si="1"/>
        <v>3964.9969999999998</v>
      </c>
      <c r="H37" s="1">
        <f t="shared" ref="H37:H41" si="4">(D11+D23)/2</f>
        <v>0.89234449760765555</v>
      </c>
      <c r="I37" s="73">
        <f t="shared" si="3"/>
        <v>3538.1432559808613</v>
      </c>
    </row>
    <row r="38" spans="5:9" x14ac:dyDescent="0.25">
      <c r="E38" s="1">
        <v>30</v>
      </c>
      <c r="F38" s="1" t="s">
        <v>63</v>
      </c>
      <c r="G38" s="1">
        <f t="shared" si="1"/>
        <v>3997.79</v>
      </c>
      <c r="H38" s="1">
        <f t="shared" si="4"/>
        <v>0.875</v>
      </c>
      <c r="I38" s="73">
        <f t="shared" si="3"/>
        <v>3498.0662499999999</v>
      </c>
    </row>
    <row r="39" spans="5:9" x14ac:dyDescent="0.25">
      <c r="E39" s="1">
        <v>31</v>
      </c>
      <c r="F39" s="1" t="s">
        <v>64</v>
      </c>
      <c r="G39" s="1">
        <f t="shared" si="1"/>
        <v>4030.5830000000001</v>
      </c>
      <c r="H39" s="1">
        <f t="shared" si="4"/>
        <v>0.72171433036411936</v>
      </c>
      <c r="I39" s="73">
        <f t="shared" si="3"/>
        <v>2908.9295108220035</v>
      </c>
    </row>
    <row r="40" spans="5:9" x14ac:dyDescent="0.25">
      <c r="E40" s="1">
        <v>32</v>
      </c>
      <c r="F40" s="1" t="s">
        <v>65</v>
      </c>
      <c r="G40" s="1">
        <f t="shared" si="1"/>
        <v>4063.3760000000002</v>
      </c>
      <c r="H40" s="1">
        <f t="shared" si="4"/>
        <v>0.54611423220973787</v>
      </c>
      <c r="I40" s="73">
        <f t="shared" si="3"/>
        <v>2219.067464419476</v>
      </c>
    </row>
    <row r="41" spans="5:9" x14ac:dyDescent="0.25">
      <c r="E41" s="1">
        <v>33</v>
      </c>
      <c r="F41" s="1" t="s">
        <v>66</v>
      </c>
      <c r="G41" s="1">
        <f t="shared" si="1"/>
        <v>4096.1689999999999</v>
      </c>
      <c r="H41" s="1">
        <f>(D15+D27)/2</f>
        <v>0.98649004183219768</v>
      </c>
      <c r="I41" s="73">
        <f t="shared" si="3"/>
        <v>4040.829928161751</v>
      </c>
    </row>
    <row r="42" spans="5:9" x14ac:dyDescent="0.25">
      <c r="E42" s="1">
        <v>34</v>
      </c>
      <c r="F42" s="1" t="s">
        <v>67</v>
      </c>
      <c r="G42" s="1">
        <f t="shared" si="1"/>
        <v>4128.9619999999995</v>
      </c>
      <c r="H42" s="1">
        <f>D25</f>
        <v>0.73456790123456794</v>
      </c>
      <c r="I42" s="73">
        <f t="shared" si="3"/>
        <v>3033.0029506172837</v>
      </c>
    </row>
    <row r="43" spans="5:9" x14ac:dyDescent="0.25">
      <c r="E43" s="1">
        <v>35</v>
      </c>
      <c r="F43" s="1" t="s">
        <v>68</v>
      </c>
      <c r="G43" s="1">
        <f t="shared" si="1"/>
        <v>4161.7550000000001</v>
      </c>
      <c r="H43" s="1">
        <f>D26</f>
        <v>0.550561797752809</v>
      </c>
      <c r="I43" s="73">
        <f t="shared" si="3"/>
        <v>2291.3033146067419</v>
      </c>
    </row>
    <row r="44" spans="5:9" x14ac:dyDescent="0.25">
      <c r="E44" s="1">
        <v>36</v>
      </c>
      <c r="F44" s="1" t="s">
        <v>69</v>
      </c>
      <c r="G44" s="1">
        <f t="shared" si="1"/>
        <v>4194.5479999999998</v>
      </c>
      <c r="H44" s="1">
        <f>D27</f>
        <v>1.0201005025125629</v>
      </c>
      <c r="I44" s="73">
        <f t="shared" si="3"/>
        <v>4278.8605226130658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B7AC2A-A9D3-4160-A54F-586011788C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0C53DB-746D-410F-835D-2498BDB04B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5100B6-B112-43E2-A19F-C022ABA85A88}">
  <ds:schemaRefs>
    <ds:schemaRef ds:uri="http://schemas.openxmlformats.org/package/2006/metadata/core-properties"/>
    <ds:schemaRef ds:uri="1b6f2b70-d5a1-4544-a145-5b4293f1365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Exercice 1</vt:lpstr>
      <vt:lpstr>Exercice 2  </vt:lpstr>
      <vt:lpstr>Exercice 3</vt:lpstr>
      <vt:lpstr>Exercice 4</vt:lpstr>
      <vt:lpstr>Exercice 5</vt:lpstr>
      <vt:lpstr>Exercice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cp:lastPrinted>2016-06-30T07:59:46Z</cp:lastPrinted>
  <dcterms:created xsi:type="dcterms:W3CDTF">2016-06-01T12:59:35Z</dcterms:created>
  <dcterms:modified xsi:type="dcterms:W3CDTF">2022-08-01T12:17:28Z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3d9ee0b4-de73-40ce-813a-126c5e584b28</vt:lpwstr>
  </property>
  <property fmtid="{D5CDD505-2E9C-101B-9397-08002B2CF9AE}" pid="3" name="ContentTypeId">
    <vt:lpwstr>0x01010021529F2146C75048A695AB3F03D98EF9</vt:lpwstr>
  </property>
</Properties>
</file>