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2/CG2P/R3 CG2P11/2024 2025/Chapitre 2/"/>
    </mc:Choice>
  </mc:AlternateContent>
  <xr:revisionPtr revIDLastSave="20" documentId="8_{E35E9D32-DF39-4D01-9371-891DEAD91D38}" xr6:coauthVersionLast="36" xr6:coauthVersionMax="36" xr10:uidLastSave="{4B60FF3C-7308-4696-9775-9C20FE485566}"/>
  <bookViews>
    <workbookView xWindow="360" yWindow="396" windowWidth="28272" windowHeight="12312" xr2:uid="{00000000-000D-0000-FFFF-FFFF00000000}"/>
  </bookViews>
  <sheets>
    <sheet name="Exercice 1" sheetId="5" r:id="rId1"/>
    <sheet name="Exercice 2" sheetId="3" r:id="rId2"/>
    <sheet name="Exercice 3" sheetId="7" r:id="rId3"/>
    <sheet name="Exercice 4" sheetId="8" r:id="rId4"/>
    <sheet name="Exercice 5" sheetId="9" r:id="rId5"/>
  </sheets>
  <calcPr calcId="191029"/>
</workbook>
</file>

<file path=xl/calcChain.xml><?xml version="1.0" encoding="utf-8"?>
<calcChain xmlns="http://schemas.openxmlformats.org/spreadsheetml/2006/main">
  <c r="C13" i="9" l="1"/>
  <c r="D13" i="9" s="1"/>
  <c r="C29" i="9" s="1"/>
  <c r="D29" i="9" s="1"/>
  <c r="C36" i="9"/>
  <c r="B36" i="9"/>
  <c r="J39" i="9"/>
  <c r="J41" i="9" s="1"/>
  <c r="C34" i="9"/>
  <c r="D34" i="9" s="1"/>
  <c r="B28" i="9"/>
  <c r="B27" i="9"/>
  <c r="C28" i="9"/>
  <c r="C26" i="9"/>
  <c r="D26" i="9" s="1"/>
  <c r="B23" i="9"/>
  <c r="B24" i="9"/>
  <c r="C23" i="9"/>
  <c r="C22" i="9"/>
  <c r="B22" i="9"/>
  <c r="J24" i="9"/>
  <c r="J22" i="9"/>
  <c r="J21" i="9"/>
  <c r="J18" i="9"/>
  <c r="J17" i="9"/>
  <c r="J16" i="9"/>
  <c r="C21" i="9"/>
  <c r="B21" i="9"/>
  <c r="I24" i="9"/>
  <c r="I22" i="9"/>
  <c r="I21" i="9"/>
  <c r="I18" i="9"/>
  <c r="I17" i="9"/>
  <c r="I16" i="9"/>
  <c r="C20" i="9"/>
  <c r="D20" i="9" s="1"/>
  <c r="H22" i="9"/>
  <c r="H24" i="9" s="1"/>
  <c r="B19" i="9"/>
  <c r="D19" i="9" s="1"/>
  <c r="D18" i="9"/>
  <c r="D17" i="9"/>
  <c r="D5" i="9"/>
  <c r="D6" i="9"/>
  <c r="D7" i="9"/>
  <c r="D9" i="9"/>
  <c r="C25" i="9" s="1"/>
  <c r="D25" i="9" s="1"/>
  <c r="D10" i="9"/>
  <c r="D11" i="9"/>
  <c r="C27" i="9" s="1"/>
  <c r="D12" i="9"/>
  <c r="D4" i="9"/>
  <c r="D8" i="9"/>
  <c r="C24" i="9" s="1"/>
  <c r="B10" i="9"/>
  <c r="D36" i="9" l="1"/>
  <c r="D28" i="9"/>
  <c r="D27" i="9"/>
  <c r="D24" i="9"/>
  <c r="D30" i="9" s="1"/>
  <c r="D23" i="9"/>
  <c r="D22" i="9"/>
  <c r="D21" i="9"/>
  <c r="C33" i="7"/>
  <c r="J9" i="3" l="1"/>
  <c r="J8" i="3"/>
  <c r="J6" i="3"/>
  <c r="D55" i="8" l="1"/>
  <c r="D47" i="8"/>
  <c r="C47" i="8"/>
  <c r="C55" i="8"/>
  <c r="D53" i="8"/>
  <c r="B53" i="8"/>
  <c r="D52" i="8"/>
  <c r="C52" i="8"/>
  <c r="B52" i="8"/>
  <c r="D51" i="8"/>
  <c r="C51" i="8"/>
  <c r="C54" i="8" s="1"/>
  <c r="B51" i="8"/>
  <c r="D46" i="8"/>
  <c r="C46" i="8"/>
  <c r="D45" i="8"/>
  <c r="D44" i="8"/>
  <c r="C44" i="8"/>
  <c r="D43" i="8"/>
  <c r="C43" i="8"/>
  <c r="B47" i="8"/>
  <c r="B46" i="8"/>
  <c r="B45" i="8"/>
  <c r="B44" i="8"/>
  <c r="B43" i="8"/>
  <c r="D37" i="8"/>
  <c r="D32" i="8"/>
  <c r="D33" i="8"/>
  <c r="D34" i="8"/>
  <c r="D35" i="8"/>
  <c r="D36" i="8"/>
  <c r="D31" i="8"/>
  <c r="B34" i="8"/>
  <c r="B33" i="8"/>
  <c r="B32" i="8"/>
  <c r="B36" i="8"/>
  <c r="C32" i="8"/>
  <c r="C33" i="8"/>
  <c r="C34" i="8"/>
  <c r="C35" i="8"/>
  <c r="C36" i="8"/>
  <c r="C31" i="8"/>
  <c r="D29" i="8"/>
  <c r="B31" i="8"/>
  <c r="C29" i="8"/>
  <c r="D21" i="8"/>
  <c r="D22" i="8"/>
  <c r="D23" i="8"/>
  <c r="D24" i="8"/>
  <c r="D25" i="8"/>
  <c r="D20" i="8"/>
  <c r="C25" i="8"/>
  <c r="C24" i="8"/>
  <c r="C23" i="8"/>
  <c r="C22" i="8"/>
  <c r="C21" i="8"/>
  <c r="C20" i="8"/>
  <c r="D16" i="8"/>
  <c r="D15" i="8"/>
  <c r="D13" i="8"/>
  <c r="D12" i="8"/>
  <c r="D11" i="8"/>
  <c r="D9" i="8"/>
  <c r="D8" i="8"/>
  <c r="D6" i="8"/>
  <c r="D4" i="8"/>
  <c r="A32" i="8"/>
  <c r="A33" i="8"/>
  <c r="A34" i="8"/>
  <c r="A35" i="8"/>
  <c r="A36" i="8"/>
  <c r="A31" i="8"/>
  <c r="H50" i="7"/>
  <c r="H49" i="7"/>
  <c r="G49" i="7"/>
  <c r="F49" i="7"/>
  <c r="H48" i="7"/>
  <c r="G48" i="7"/>
  <c r="G50" i="7" s="1"/>
  <c r="F48" i="7"/>
  <c r="F50" i="7" s="1"/>
  <c r="I50" i="7" s="1"/>
  <c r="C37" i="7"/>
  <c r="C35" i="7"/>
  <c r="E31" i="7"/>
  <c r="E30" i="7"/>
  <c r="E29" i="7"/>
  <c r="E28" i="7"/>
  <c r="E27" i="7"/>
  <c r="E22" i="7"/>
  <c r="D37" i="7" s="1"/>
  <c r="E37" i="7" s="1"/>
  <c r="E18" i="7"/>
  <c r="D36" i="7" s="1"/>
  <c r="E36" i="7" s="1"/>
  <c r="K17" i="7"/>
  <c r="E17" i="7"/>
  <c r="D35" i="7" s="1"/>
  <c r="K16" i="7"/>
  <c r="E16" i="7"/>
  <c r="D34" i="7" s="1"/>
  <c r="E34" i="7" s="1"/>
  <c r="K15" i="7"/>
  <c r="E15" i="7"/>
  <c r="D33" i="7" s="1"/>
  <c r="E7" i="7"/>
  <c r="D7" i="7"/>
  <c r="F7" i="7" s="1"/>
  <c r="F9" i="7" s="1"/>
  <c r="C7" i="7"/>
  <c r="D54" i="8" l="1"/>
  <c r="B54" i="8"/>
  <c r="B55" i="8" s="1"/>
  <c r="E32" i="7"/>
  <c r="K18" i="7"/>
  <c r="E33" i="7"/>
  <c r="E35" i="7"/>
  <c r="E38" i="7" l="1"/>
  <c r="E39" i="7" s="1"/>
  <c r="B36" i="5" l="1"/>
  <c r="B35" i="5"/>
  <c r="C22" i="5"/>
  <c r="F22" i="5" s="1"/>
  <c r="E25" i="5"/>
  <c r="B25" i="5"/>
  <c r="G24" i="5"/>
  <c r="D24" i="5"/>
  <c r="G21" i="5"/>
  <c r="E21" i="5"/>
  <c r="B21" i="5"/>
  <c r="E20" i="5"/>
  <c r="G20" i="5" s="1"/>
  <c r="C20" i="5"/>
  <c r="B20" i="5"/>
  <c r="D20" i="5" s="1"/>
  <c r="F12" i="5"/>
  <c r="G12" i="5"/>
  <c r="E12" i="5"/>
  <c r="D12" i="5"/>
  <c r="C12" i="5" s="1"/>
  <c r="B12" i="5"/>
  <c r="D11" i="5"/>
  <c r="G11" i="5"/>
  <c r="F10" i="5"/>
  <c r="G10" i="5"/>
  <c r="C10" i="5"/>
  <c r="D10" i="5"/>
  <c r="G9" i="5"/>
  <c r="F9" i="5"/>
  <c r="D9" i="5"/>
  <c r="C9" i="5"/>
  <c r="E9" i="5"/>
  <c r="B9" i="5"/>
  <c r="D8" i="5"/>
  <c r="G8" i="5"/>
  <c r="E8" i="5"/>
  <c r="B8" i="5"/>
  <c r="G7" i="5"/>
  <c r="E7" i="5"/>
  <c r="D7" i="5"/>
  <c r="C7" i="5"/>
  <c r="B7" i="5"/>
  <c r="D22" i="5" l="1"/>
  <c r="D23" i="5" s="1"/>
  <c r="C23" i="5" s="1"/>
  <c r="G22" i="5"/>
  <c r="G23" i="5" s="1"/>
  <c r="D21" i="5"/>
  <c r="G48" i="3"/>
  <c r="D48" i="3"/>
  <c r="F48" i="3"/>
  <c r="C48" i="3"/>
  <c r="C47" i="3"/>
  <c r="F47" i="3"/>
  <c r="D25" i="5" l="1"/>
  <c r="C25" i="5" s="1"/>
  <c r="F23" i="5"/>
  <c r="G25" i="5"/>
  <c r="F25" i="5" s="1"/>
  <c r="I48" i="3"/>
  <c r="B40" i="3"/>
  <c r="G9" i="3" l="1"/>
  <c r="D9" i="3"/>
  <c r="G13" i="3" l="1"/>
  <c r="E7" i="3" l="1"/>
  <c r="B5" i="3"/>
  <c r="G7" i="3" l="1"/>
  <c r="E6" i="3"/>
  <c r="G6" i="3" s="1"/>
  <c r="E5" i="3"/>
  <c r="G5" i="3" s="1"/>
  <c r="G4" i="3"/>
  <c r="B7" i="3"/>
  <c r="D7" i="3" s="1"/>
  <c r="B6" i="3"/>
  <c r="D6" i="3" s="1"/>
  <c r="D5" i="3"/>
  <c r="B4" i="3"/>
  <c r="D4" i="3" s="1"/>
  <c r="G8" i="3" l="1"/>
  <c r="D8" i="3"/>
  <c r="C8" i="3" s="1"/>
  <c r="C46" i="3" s="1"/>
  <c r="F8" i="3" l="1"/>
  <c r="F46" i="3" s="1"/>
  <c r="G10" i="3"/>
  <c r="F10" i="3" s="1"/>
  <c r="D10" i="3"/>
  <c r="C10" i="3" s="1"/>
  <c r="G46" i="3" l="1"/>
  <c r="D46" i="3"/>
  <c r="D49" i="3" l="1"/>
  <c r="C49" i="3" s="1"/>
  <c r="G49" i="3"/>
  <c r="F4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290000*0,75 = 217 500Kg
217 500 / 1200 = 181,25 Big Bag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290000*5 / 1000 = 1450 m3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290 000 / 5000 = 58 lots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 xr:uid="{47FBB347-2EF1-4EA1-9E16-276457300C87}">
      <text>
        <r>
          <rPr>
            <b/>
            <sz val="9"/>
            <color indexed="81"/>
            <rFont val="Tahoma"/>
            <family val="2"/>
          </rPr>
          <t>2700€ pour 5000 bouteilles (1Kit = 5000 bouteilles)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170000 / 4 = 42500€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35" authorId="0" shapeId="0" xr:uid="{501D2A63-4277-46E8-BA8D-441055085645}">
      <text>
        <r>
          <rPr>
            <sz val="9"/>
            <color indexed="81"/>
            <rFont val="Tahoma"/>
            <family val="2"/>
          </rPr>
          <t>3 couleurs = 16 A
1 A = 3/16 = 0,1875</t>
        </r>
      </text>
    </comment>
    <comment ref="C37" authorId="0" shapeId="0" xr:uid="{C0DE35A2-6A42-4DFE-99AD-C69507D5931A}">
      <text>
        <r>
          <rPr>
            <sz val="9"/>
            <color indexed="81"/>
            <rFont val="Tahoma"/>
            <family val="2"/>
          </rPr>
          <t>3,66 références = 16A
1 A = 3,66 / 16 =&gt; 0,2291</t>
        </r>
      </text>
    </comment>
  </commentList>
</comments>
</file>

<file path=xl/sharedStrings.xml><?xml version="1.0" encoding="utf-8"?>
<sst xmlns="http://schemas.openxmlformats.org/spreadsheetml/2006/main" count="292" uniqueCount="190">
  <si>
    <t>Nombre de lots</t>
  </si>
  <si>
    <t>Inducteur</t>
  </si>
  <si>
    <t>Activités</t>
  </si>
  <si>
    <t>Méthode ABC</t>
  </si>
  <si>
    <t>Coûts directs</t>
  </si>
  <si>
    <t>Qté</t>
  </si>
  <si>
    <t>Coût Unit.</t>
  </si>
  <si>
    <t>Montant</t>
  </si>
  <si>
    <t>Méthode centres d'analyse</t>
  </si>
  <si>
    <t>Coût unitaire</t>
  </si>
  <si>
    <t>montant</t>
  </si>
  <si>
    <t>Prix des fruits consommés</t>
  </si>
  <si>
    <t>Prix du sucre consommé</t>
  </si>
  <si>
    <t>Prix de l'eau consommée</t>
  </si>
  <si>
    <t>Prix des bouteilles et bouchons</t>
  </si>
  <si>
    <t>Coût direct d’achat</t>
  </si>
  <si>
    <t>Centre approvisionnements</t>
  </si>
  <si>
    <t>Coût d’achat</t>
  </si>
  <si>
    <t>Coût d'acquisition des matières premières achetées</t>
  </si>
  <si>
    <t>Coût total attribué à l'activité</t>
  </si>
  <si>
    <t>nombre d'inducteurs</t>
  </si>
  <si>
    <t>coût de l'inducteur</t>
  </si>
  <si>
    <t>Relations fournisseurs</t>
  </si>
  <si>
    <t>170 000 €</t>
  </si>
  <si>
    <t>nombre de fournisseurs</t>
  </si>
  <si>
    <t>42 500 €</t>
  </si>
  <si>
    <t>Réception des commandes</t>
  </si>
  <si>
    <t>nombre de lots commandés</t>
  </si>
  <si>
    <t>Stockage des matières</t>
  </si>
  <si>
    <t>Bouteille de Cassis</t>
  </si>
  <si>
    <t>Bouteille de Menthe</t>
  </si>
  <si>
    <t>Cassis  290000</t>
  </si>
  <si>
    <t>Menthe 235000</t>
  </si>
  <si>
    <t>Nombre de fournisseurs</t>
  </si>
  <si>
    <t xml:space="preserve"> </t>
  </si>
  <si>
    <t>TOTAL</t>
  </si>
  <si>
    <r>
      <t>Coût d'acquisition (en fonction des Kg</t>
    </r>
    <r>
      <rPr>
        <sz val="10"/>
        <color theme="1"/>
        <rFont val="Calibri"/>
        <family val="2"/>
        <scheme val="minor"/>
      </rPr>
      <t xml:space="preserve"> achetés)</t>
    </r>
  </si>
  <si>
    <t>Hypothèse 1 : Répartition des charges indirectes en fonction des heures de MOD</t>
  </si>
  <si>
    <t xml:space="preserve"> 300 A</t>
  </si>
  <si>
    <t>900 B</t>
  </si>
  <si>
    <t>Q</t>
  </si>
  <si>
    <t>PU</t>
  </si>
  <si>
    <t>M</t>
  </si>
  <si>
    <t>Matières premières</t>
  </si>
  <si>
    <t>MOD</t>
  </si>
  <si>
    <t>Charges indirectes</t>
  </si>
  <si>
    <t>COUT DE PRODUCTION</t>
  </si>
  <si>
    <t>CA</t>
  </si>
  <si>
    <t>RESULTAT</t>
  </si>
  <si>
    <t>Hypothèse 2 : Répartition des charges indirectes en fonction du volume de production</t>
  </si>
  <si>
    <t>2- Constat ?</t>
  </si>
  <si>
    <t>Le changmement d'unité d'œuvre change complètement la vision de la rentabilité des deux produits</t>
  </si>
  <si>
    <t>3 - Importance des charges indirectes</t>
  </si>
  <si>
    <t>Charges totales</t>
  </si>
  <si>
    <t>Importance en %</t>
  </si>
  <si>
    <t>4 - Préconisation pour la répartiton des charges indirectes</t>
  </si>
  <si>
    <t>Utiliser plusieurs clés de répartiton en fonction des différentes activités de la production (méthode ABC)</t>
  </si>
  <si>
    <t>Question 1</t>
  </si>
  <si>
    <t>COUT DIRECT</t>
  </si>
  <si>
    <t>Nbre de produits vendus</t>
  </si>
  <si>
    <t>COUT DE REVIENT</t>
  </si>
  <si>
    <t>Question 3</t>
  </si>
  <si>
    <t>Inducteurs</t>
  </si>
  <si>
    <t>Nombre d'heures</t>
  </si>
  <si>
    <t>Gestion des fournisseurs</t>
  </si>
  <si>
    <t>Coût de l'inducteur</t>
  </si>
  <si>
    <t>Question 2</t>
  </si>
  <si>
    <t>A</t>
  </si>
  <si>
    <t>B</t>
  </si>
  <si>
    <t>C</t>
  </si>
  <si>
    <t xml:space="preserve">Production mensuelle </t>
  </si>
  <si>
    <t>Heures nécessaires pour 1 piscine</t>
  </si>
  <si>
    <t>Heures nécessaires par mois</t>
  </si>
  <si>
    <t>Heures productives par mois / ouvirer</t>
  </si>
  <si>
    <t>Nombre d'ouvriers nécessaires</t>
  </si>
  <si>
    <t>(arrondi à 7)</t>
  </si>
  <si>
    <t>Coût total</t>
  </si>
  <si>
    <t>Nombre inducteurs</t>
  </si>
  <si>
    <t>Coût inducteur</t>
  </si>
  <si>
    <t>Produits</t>
  </si>
  <si>
    <t>Nombre coques</t>
  </si>
  <si>
    <t>Changement de moule</t>
  </si>
  <si>
    <t xml:space="preserve"> 20 lots</t>
  </si>
  <si>
    <t xml:space="preserve">  A (16)</t>
  </si>
  <si>
    <t>16 / 2 = 8</t>
  </si>
  <si>
    <t>Introduction Armature</t>
  </si>
  <si>
    <t xml:space="preserve">690 h </t>
  </si>
  <si>
    <t xml:space="preserve">  B (55)</t>
  </si>
  <si>
    <t>55 / 5 = 11</t>
  </si>
  <si>
    <t>Changement couleur</t>
  </si>
  <si>
    <t>5 couleurs</t>
  </si>
  <si>
    <t xml:space="preserve">  C (20)</t>
  </si>
  <si>
    <t>20 /20 = 1</t>
  </si>
  <si>
    <t>Vernissage</t>
  </si>
  <si>
    <t>13 650 €</t>
  </si>
  <si>
    <t xml:space="preserve"> 91 unités</t>
  </si>
  <si>
    <t>Nombre total d’inducteurs</t>
  </si>
  <si>
    <t>Livraison</t>
  </si>
  <si>
    <t>Gestion des clients</t>
  </si>
  <si>
    <t xml:space="preserve">  4 550 €</t>
  </si>
  <si>
    <t>Total</t>
  </si>
  <si>
    <t>Gestion fournisseurs</t>
  </si>
  <si>
    <r>
      <t>5 couleurs + 2 matières = 7 réf</t>
    </r>
    <r>
      <rPr>
        <b/>
        <u/>
        <sz val="12"/>
        <rFont val="Times New Roman"/>
        <family val="1"/>
      </rPr>
      <t xml:space="preserve"> </t>
    </r>
  </si>
  <si>
    <t>1 Modèle A</t>
  </si>
  <si>
    <t xml:space="preserve">Consommation  de PVC   </t>
  </si>
  <si>
    <t xml:space="preserve">Consommation  d’armature </t>
  </si>
  <si>
    <t>MOD  Productive   Moulage</t>
  </si>
  <si>
    <t xml:space="preserve">Consommation de peinture </t>
  </si>
  <si>
    <t xml:space="preserve">MOD peintres   </t>
  </si>
  <si>
    <t>Coût direct</t>
  </si>
  <si>
    <t>8 lots de A =&gt;  16 coques A</t>
  </si>
  <si>
    <t>Nb de lots produits</t>
  </si>
  <si>
    <t>Nb d’heures MOD moulage</t>
  </si>
  <si>
    <t>Nb de couleurs</t>
  </si>
  <si>
    <t>3 couleurs pour 16 coques A</t>
  </si>
  <si>
    <t>Nb de coques produites</t>
  </si>
  <si>
    <t>Nb de références</t>
  </si>
  <si>
    <t>Coût indirect</t>
  </si>
  <si>
    <t>Coût de revient standard unitaire</t>
  </si>
  <si>
    <t>Référence</t>
  </si>
  <si>
    <t>Pour A</t>
  </si>
  <si>
    <t xml:space="preserve">Pour B </t>
  </si>
  <si>
    <t>Pour C</t>
  </si>
  <si>
    <t>Gris</t>
  </si>
  <si>
    <t>OUI</t>
  </si>
  <si>
    <t>Bleu</t>
  </si>
  <si>
    <t>Blanc</t>
  </si>
  <si>
    <t>NON</t>
  </si>
  <si>
    <t>Noir</t>
  </si>
  <si>
    <t>Vert</t>
  </si>
  <si>
    <t>PVC</t>
  </si>
  <si>
    <t>Armatures</t>
  </si>
  <si>
    <t>16 coques</t>
  </si>
  <si>
    <t>20 coques</t>
  </si>
  <si>
    <t>Question 4</t>
  </si>
  <si>
    <t>Centres</t>
  </si>
  <si>
    <t>Nbre d'inducteurs</t>
  </si>
  <si>
    <t>Approvisionnement</t>
  </si>
  <si>
    <t>Gestion des commandes</t>
  </si>
  <si>
    <t>Nbre de commandes</t>
  </si>
  <si>
    <t>Nbre de fournisseurs</t>
  </si>
  <si>
    <t>Logistique</t>
  </si>
  <si>
    <t>Nbre de lots</t>
  </si>
  <si>
    <t>Maintenance informatique</t>
  </si>
  <si>
    <t>Nbre d'heures d'utilisation des ordinateurs</t>
  </si>
  <si>
    <t>27500 (dont 9600 pour la WALKING FOOT)</t>
  </si>
  <si>
    <t>Assemblage</t>
  </si>
  <si>
    <t>Règlage des machines</t>
  </si>
  <si>
    <t>Planification</t>
  </si>
  <si>
    <t>Conception</t>
  </si>
  <si>
    <t>Distribution / Administration</t>
  </si>
  <si>
    <t>Ventes</t>
  </si>
  <si>
    <t>Comptabilité</t>
  </si>
  <si>
    <t>100€ de CA</t>
  </si>
  <si>
    <t>Montant des charges</t>
  </si>
  <si>
    <t>COUT INDIRECT :</t>
  </si>
  <si>
    <t xml:space="preserve">3 - </t>
  </si>
  <si>
    <t>C1</t>
  </si>
  <si>
    <t>C2</t>
  </si>
  <si>
    <t>C3</t>
  </si>
  <si>
    <t>Pour 1 Walking Foot</t>
  </si>
  <si>
    <t>Pour  1 Runnig Top</t>
  </si>
  <si>
    <t>Situation initiale</t>
  </si>
  <si>
    <t>Nouvelle situation</t>
  </si>
  <si>
    <t>Cette contrainte diminue le coût du Walking Foot  de 0,43€ (Coût de l'inducteur plus faible et un nombre d'inducteurs identiques car Walking Foot n'utilise pas de C3)</t>
  </si>
  <si>
    <t>Cette contrainte augmente de cout du Running Top de 0,62€ (Coût de l'inducteur plus faible, mais un nombre d'inducteurs plus important)</t>
  </si>
  <si>
    <t>Il y a bien un effet de subventionnement car certaines charges ont été déplacées de Walking Foot vers Running Top</t>
  </si>
  <si>
    <t>1/3+1/3+3  =&gt;  16 coques</t>
  </si>
  <si>
    <t>3,67  =&gt;  16 coques</t>
  </si>
  <si>
    <t>Charges</t>
  </si>
  <si>
    <t>Nombre d’inducteurs</t>
  </si>
  <si>
    <t>Coût de l’inducteur</t>
  </si>
  <si>
    <t>Nombre de références de composants</t>
  </si>
  <si>
    <t>Nombre de livraisons de composants</t>
  </si>
  <si>
    <t>Nombre de modèle de flacon</t>
  </si>
  <si>
    <t>Nbre de lots fabriqués</t>
  </si>
  <si>
    <t>Quantité produite de flacons industriels</t>
  </si>
  <si>
    <t>Quantité produite de flacons artisanaux</t>
  </si>
  <si>
    <t>Nbre de lots flacons industriels</t>
  </si>
  <si>
    <t>Nbre de lots flacon artisanaux</t>
  </si>
  <si>
    <t>Chiffre d'affaires</t>
  </si>
  <si>
    <t>Quantité</t>
  </si>
  <si>
    <t>Composants de base</t>
  </si>
  <si>
    <t>Composants spéciaux</t>
  </si>
  <si>
    <t>MOD Moulage</t>
  </si>
  <si>
    <t>COUT DE REVIENT UNITAIRE</t>
  </si>
  <si>
    <t>Nb Référence</t>
  </si>
  <si>
    <t>Nb Frs</t>
  </si>
  <si>
    <t>Nb Livraison</t>
  </si>
  <si>
    <t>Diminution du coput de (2,34-1,87) 0,47€ pour un flacon œillet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</si>
</sst>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00\ &quot;€&quot;_-;\-* #,##0.0000\ &quot;€&quot;_-;_-* &quot;-&quot;??\ &quot;€&quot;_-;_-@_-"/>
    <numFmt numFmtId="166" formatCode="_-* #,##0.00000\ &quot;€&quot;_-;\-* #,##0.00000\ &quot;€&quot;_-;_-* &quot;-&quot;??\ &quot;€&quot;_-;_-@_-"/>
    <numFmt numFmtId="167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2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0" fillId="0" borderId="0" xfId="0" applyNumberForma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quotePrefix="1" applyFill="1"/>
    <xf numFmtId="0" fontId="5" fillId="3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center" vertical="center"/>
    </xf>
    <xf numFmtId="44" fontId="9" fillId="2" borderId="7" xfId="1" applyFont="1" applyFill="1" applyBorder="1" applyAlignment="1">
      <alignment horizontal="center" vertical="center"/>
    </xf>
    <xf numFmtId="44" fontId="9" fillId="2" borderId="7" xfId="1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44" fontId="6" fillId="4" borderId="7" xfId="1" applyFont="1" applyFill="1" applyBorder="1" applyAlignment="1">
      <alignment horizontal="center" vertical="center"/>
    </xf>
    <xf numFmtId="44" fontId="6" fillId="4" borderId="7" xfId="1" applyNumberFormat="1" applyFont="1" applyFill="1" applyBorder="1" applyAlignment="1">
      <alignment horizontal="center" vertical="center"/>
    </xf>
    <xf numFmtId="44" fontId="6" fillId="0" borderId="0" xfId="0" applyNumberFormat="1" applyFont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165" fontId="9" fillId="5" borderId="7" xfId="1" applyNumberFormat="1" applyFont="1" applyFill="1" applyBorder="1" applyAlignment="1">
      <alignment horizontal="center" vertical="center"/>
    </xf>
    <xf numFmtId="44" fontId="9" fillId="5" borderId="7" xfId="1" applyFont="1" applyFill="1" applyBorder="1" applyAlignment="1">
      <alignment horizontal="center" vertical="center"/>
    </xf>
    <xf numFmtId="44" fontId="9" fillId="5" borderId="7" xfId="1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vertical="center"/>
    </xf>
    <xf numFmtId="44" fontId="10" fillId="2" borderId="7" xfId="1" applyFont="1" applyFill="1" applyBorder="1" applyAlignment="1">
      <alignment horizontal="center" vertical="center"/>
    </xf>
    <xf numFmtId="165" fontId="10" fillId="2" borderId="7" xfId="1" applyNumberFormat="1" applyFont="1" applyFill="1" applyBorder="1" applyAlignment="1">
      <alignment vertical="center"/>
    </xf>
    <xf numFmtId="44" fontId="10" fillId="2" borderId="7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/>
    </xf>
    <xf numFmtId="165" fontId="6" fillId="3" borderId="1" xfId="1" applyNumberFormat="1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/>
    </xf>
    <xf numFmtId="44" fontId="9" fillId="0" borderId="1" xfId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/>
    <xf numFmtId="44" fontId="12" fillId="0" borderId="0" xfId="0" applyNumberFormat="1" applyFont="1"/>
    <xf numFmtId="165" fontId="9" fillId="0" borderId="1" xfId="1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1" fontId="6" fillId="6" borderId="1" xfId="0" applyNumberFormat="1" applyFont="1" applyFill="1" applyBorder="1" applyAlignment="1">
      <alignment horizontal="center"/>
    </xf>
    <xf numFmtId="44" fontId="6" fillId="6" borderId="1" xfId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44" fontId="3" fillId="6" borderId="7" xfId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44" fontId="15" fillId="0" borderId="1" xfId="1" applyFont="1" applyBorder="1" applyAlignment="1">
      <alignment vertical="center"/>
    </xf>
    <xf numFmtId="44" fontId="15" fillId="0" borderId="1" xfId="1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44" fontId="16" fillId="0" borderId="1" xfId="1" applyFont="1" applyBorder="1" applyAlignment="1">
      <alignment vertical="center"/>
    </xf>
    <xf numFmtId="44" fontId="16" fillId="0" borderId="1" xfId="1" applyFont="1" applyBorder="1" applyAlignment="1">
      <alignment horizontal="right" vertical="center"/>
    </xf>
    <xf numFmtId="0" fontId="16" fillId="0" borderId="0" xfId="0" quotePrefix="1" applyFont="1" applyFill="1" applyBorder="1" applyAlignment="1">
      <alignment vertical="center"/>
    </xf>
    <xf numFmtId="0" fontId="0" fillId="0" borderId="1" xfId="0" applyFont="1" applyBorder="1"/>
    <xf numFmtId="164" fontId="0" fillId="0" borderId="1" xfId="1" applyNumberFormat="1" applyFont="1" applyBorder="1"/>
    <xf numFmtId="164" fontId="0" fillId="0" borderId="1" xfId="0" applyNumberFormat="1" applyFont="1" applyBorder="1"/>
    <xf numFmtId="0" fontId="14" fillId="0" borderId="1" xfId="0" applyFont="1" applyBorder="1"/>
    <xf numFmtId="10" fontId="14" fillId="0" borderId="1" xfId="2" applyNumberFormat="1" applyFont="1" applyBorder="1"/>
    <xf numFmtId="0" fontId="14" fillId="0" borderId="0" xfId="0" quotePrefix="1" applyFont="1"/>
    <xf numFmtId="0" fontId="14" fillId="0" borderId="0" xfId="0" applyFont="1"/>
    <xf numFmtId="0" fontId="0" fillId="0" borderId="0" xfId="0" applyFont="1" applyFill="1" applyBorder="1"/>
    <xf numFmtId="0" fontId="14" fillId="0" borderId="0" xfId="0" quotePrefix="1" applyFont="1" applyFill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Fill="1" applyBorder="1"/>
    <xf numFmtId="0" fontId="0" fillId="0" borderId="0" xfId="0" quotePrefix="1"/>
    <xf numFmtId="44" fontId="0" fillId="0" borderId="1" xfId="1" applyFont="1" applyBorder="1"/>
    <xf numFmtId="44" fontId="14" fillId="2" borderId="1" xfId="0" applyNumberFormat="1" applyFont="1" applyFill="1" applyBorder="1"/>
    <xf numFmtId="0" fontId="14" fillId="2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44" fontId="5" fillId="0" borderId="1" xfId="1" applyFont="1" applyFill="1" applyBorder="1" applyAlignment="1">
      <alignment horizontal="center" vertical="center" wrapText="1"/>
    </xf>
    <xf numFmtId="44" fontId="5" fillId="0" borderId="14" xfId="1" applyFont="1" applyBorder="1" applyAlignment="1">
      <alignment horizontal="justify" vertical="center" wrapText="1"/>
    </xf>
    <xf numFmtId="44" fontId="4" fillId="0" borderId="1" xfId="1" applyFont="1" applyBorder="1" applyAlignment="1">
      <alignment horizontal="justify" vertical="center" wrapText="1"/>
    </xf>
    <xf numFmtId="44" fontId="5" fillId="0" borderId="1" xfId="1" applyFont="1" applyBorder="1" applyAlignment="1">
      <alignment horizontal="center" vertical="center" wrapText="1"/>
    </xf>
    <xf numFmtId="44" fontId="12" fillId="0" borderId="1" xfId="1" applyFont="1" applyFill="1" applyBorder="1"/>
    <xf numFmtId="44" fontId="9" fillId="0" borderId="1" xfId="1" applyFont="1" applyFill="1" applyBorder="1" applyAlignment="1">
      <alignment horizontal="justify" vertical="center" wrapText="1"/>
    </xf>
    <xf numFmtId="0" fontId="18" fillId="0" borderId="1" xfId="0" applyFont="1" applyFill="1" applyBorder="1"/>
    <xf numFmtId="44" fontId="18" fillId="0" borderId="1" xfId="0" applyNumberFormat="1" applyFont="1" applyFill="1" applyBorder="1"/>
    <xf numFmtId="44" fontId="6" fillId="7" borderId="1" xfId="1" applyFont="1" applyFill="1" applyBorder="1" applyAlignment="1">
      <alignment horizontal="left" vertical="center" wrapText="1"/>
    </xf>
    <xf numFmtId="0" fontId="12" fillId="7" borderId="1" xfId="0" applyFont="1" applyFill="1" applyBorder="1"/>
    <xf numFmtId="44" fontId="12" fillId="7" borderId="1" xfId="0" applyNumberFormat="1" applyFont="1" applyFill="1" applyBorder="1"/>
    <xf numFmtId="44" fontId="6" fillId="7" borderId="1" xfId="1" applyFont="1" applyFill="1" applyBorder="1" applyAlignment="1">
      <alignment horizontal="justify" vertical="center" wrapText="1"/>
    </xf>
    <xf numFmtId="44" fontId="6" fillId="7" borderId="1" xfId="1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4" fillId="0" borderId="15" xfId="0" applyFont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44" fontId="9" fillId="0" borderId="1" xfId="1" applyFont="1" applyFill="1" applyBorder="1" applyAlignment="1">
      <alignment vertical="center" wrapText="1"/>
    </xf>
    <xf numFmtId="44" fontId="10" fillId="0" borderId="1" xfId="1" applyFont="1" applyFill="1" applyBorder="1" applyAlignment="1">
      <alignment vertical="center" wrapText="1"/>
    </xf>
    <xf numFmtId="0" fontId="21" fillId="0" borderId="1" xfId="0" applyFont="1" applyFill="1" applyBorder="1"/>
    <xf numFmtId="44" fontId="21" fillId="0" borderId="1" xfId="0" applyNumberFormat="1" applyFont="1" applyFill="1" applyBorder="1"/>
    <xf numFmtId="0" fontId="16" fillId="0" borderId="1" xfId="0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vertical="center"/>
    </xf>
    <xf numFmtId="44" fontId="15" fillId="0" borderId="1" xfId="0" applyNumberFormat="1" applyFont="1" applyBorder="1" applyAlignment="1">
      <alignment horizontal="center" vertical="center"/>
    </xf>
    <xf numFmtId="0" fontId="14" fillId="8" borderId="1" xfId="0" applyFont="1" applyFill="1" applyBorder="1"/>
    <xf numFmtId="44" fontId="14" fillId="8" borderId="1" xfId="1" applyFont="1" applyFill="1" applyBorder="1"/>
    <xf numFmtId="44" fontId="14" fillId="8" borderId="1" xfId="0" applyNumberFormat="1" applyFont="1" applyFill="1" applyBorder="1"/>
    <xf numFmtId="44" fontId="14" fillId="2" borderId="1" xfId="1" applyFont="1" applyFill="1" applyBorder="1"/>
    <xf numFmtId="2" fontId="12" fillId="7" borderId="1" xfId="0" applyNumberFormat="1" applyFont="1" applyFill="1" applyBorder="1"/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8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vertical="top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44" fontId="0" fillId="0" borderId="7" xfId="1" applyFont="1" applyBorder="1" applyAlignment="1">
      <alignment horizontal="right" vertical="center"/>
    </xf>
    <xf numFmtId="8" fontId="0" fillId="0" borderId="7" xfId="0" applyNumberFormat="1" applyBorder="1" applyAlignment="1">
      <alignment vertical="top"/>
    </xf>
    <xf numFmtId="44" fontId="15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right" vertical="center"/>
    </xf>
    <xf numFmtId="8" fontId="0" fillId="0" borderId="1" xfId="0" applyNumberFormat="1" applyBorder="1" applyAlignment="1">
      <alignment horizontal="right" vertical="center"/>
    </xf>
    <xf numFmtId="167" fontId="15" fillId="0" borderId="1" xfId="1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6" fillId="6" borderId="9" xfId="1" applyNumberFormat="1" applyFont="1" applyFill="1" applyBorder="1" applyAlignment="1">
      <alignment horizontal="center" vertical="center" wrapText="1"/>
    </xf>
    <xf numFmtId="164" fontId="6" fillId="6" borderId="6" xfId="1" applyNumberFormat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322792</xdr:colOff>
      <xdr:row>12</xdr:row>
      <xdr:rowOff>64771</xdr:rowOff>
    </xdr:from>
    <xdr:to>
      <xdr:col>2</xdr:col>
      <xdr:colOff>381000</xdr:colOff>
      <xdr:row>18</xdr:row>
      <xdr:rowOff>49531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2792" y="2610063"/>
          <a:ext cx="3238500" cy="1191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Répartition des coûts indirects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: 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372000€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145 000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+ 94000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239 000Kg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Clé de répartition :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372000€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239000Kg =&gt;  1,5565€ montant des charges indirectes pour 1 Kg acheté</a:t>
          </a:r>
          <a:endParaRPr lang="fr-FR" sz="1100"/>
        </a:p>
      </xdr:txBody>
    </xdr:sp>
    <xdr:clientData/>
  </xdr:twoCellAnchor>
  <xdr:twoCellAnchor>
    <xdr:from>
      <xdr:col>0</xdr:col>
      <xdr:colOff>133350</xdr:colOff>
      <xdr:row>22</xdr:row>
      <xdr:rowOff>66675</xdr:rowOff>
    </xdr:from>
    <xdr:to>
      <xdr:col>2</xdr:col>
      <xdr:colOff>841828</xdr:colOff>
      <xdr:row>27</xdr:row>
      <xdr:rowOff>177800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3350" y="2719161"/>
          <a:ext cx="3284764" cy="101826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Justifier le nombre de lots de cassis approvisionné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lots de Cassis :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290000x0,5/10000 = 14,5 soit 15 lots de 10 tonnes</a:t>
          </a:r>
        </a:p>
        <a:p>
          <a:endParaRPr lang="fr-FR" sz="1100"/>
        </a:p>
      </xdr:txBody>
    </xdr:sp>
    <xdr:clientData/>
  </xdr:twoCellAnchor>
  <xdr:twoCellAnchor>
    <xdr:from>
      <xdr:col>2</xdr:col>
      <xdr:colOff>1219201</xdr:colOff>
      <xdr:row>21</xdr:row>
      <xdr:rowOff>134937</xdr:rowOff>
    </xdr:from>
    <xdr:to>
      <xdr:col>7</xdr:col>
      <xdr:colOff>457201</xdr:colOff>
      <xdr:row>34</xdr:row>
      <xdr:rowOff>79374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02139" y="4016375"/>
          <a:ext cx="6810375" cy="24368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Justifier le nombre de fournisseurs (2) et de lots attribués au produit sirop de menthe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Fournisseur de menthe : 1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Fournisseur de sucre : ½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Fournisseur de KIT : ½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fournisseurs :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Lots pour sirop de menthe :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Menthe : 235000 x 0,4x 1/1000 = 94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Sucre : nombre de lots de sucre achetés  x (consommation de sucre pour la menthe/conso totale de sucre)=  76 x (235000x 1) / (235000 + 0,75 x 290000) = 76 x 0,51933= 39,47 soit 40 lots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 : 235000/5000 = 47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 : 47 + 40 + 94 =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181 soit 180 car arrondis à la dizaine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  <xdr:twoCellAnchor>
    <xdr:from>
      <xdr:col>0</xdr:col>
      <xdr:colOff>1695450</xdr:colOff>
      <xdr:row>38</xdr:row>
      <xdr:rowOff>114300</xdr:rowOff>
    </xdr:from>
    <xdr:to>
      <xdr:col>2</xdr:col>
      <xdr:colOff>177800</xdr:colOff>
      <xdr:row>46</xdr:row>
      <xdr:rowOff>133350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1695450" y="5842000"/>
          <a:ext cx="1758950" cy="2254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1758950</xdr:colOff>
      <xdr:row>40</xdr:row>
      <xdr:rowOff>69850</xdr:rowOff>
    </xdr:from>
    <xdr:to>
      <xdr:col>2</xdr:col>
      <xdr:colOff>304800</xdr:colOff>
      <xdr:row>47</xdr:row>
      <xdr:rowOff>171450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1758950" y="6203950"/>
          <a:ext cx="1822450" cy="2127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170180</xdr:colOff>
      <xdr:row>11</xdr:row>
      <xdr:rowOff>289560</xdr:rowOff>
    </xdr:from>
    <xdr:to>
      <xdr:col>4</xdr:col>
      <xdr:colOff>673100</xdr:colOff>
      <xdr:row>11</xdr:row>
      <xdr:rowOff>1282699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4377F4C-E044-4C56-AC33-D7969D3DB0D7}"/>
            </a:ext>
          </a:extLst>
        </xdr:cNvPr>
        <xdr:cNvSpPr txBox="1"/>
      </xdr:nvSpPr>
      <xdr:spPr>
        <a:xfrm>
          <a:off x="932180" y="2194560"/>
          <a:ext cx="4474845" cy="9931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1645 * 75%</a:t>
          </a:r>
          <a:r>
            <a:rPr lang="fr-FR" sz="1100" b="1" baseline="0"/>
            <a:t> = 1233,75 Heures productives par an par ouvrier</a:t>
          </a:r>
        </a:p>
        <a:p>
          <a:endParaRPr lang="fr-FR" sz="1100" b="1" baseline="0"/>
        </a:p>
        <a:p>
          <a:r>
            <a:rPr lang="fr-FR" sz="1100" b="1" baseline="0"/>
            <a:t>1233,75 / 12  = 102,8125 Heures productives par mois et par ouvrier</a:t>
          </a:r>
        </a:p>
        <a:p>
          <a:endParaRPr lang="fr-FR" sz="1100" b="1" baseline="0"/>
        </a:p>
        <a:p>
          <a:r>
            <a:rPr lang="fr-FR" sz="1100" b="1" baseline="0"/>
            <a:t>2467,50 / 102,8125 = 24€</a:t>
          </a:r>
          <a:endParaRPr lang="fr-FR" sz="1100" b="1"/>
        </a:p>
      </xdr:txBody>
    </xdr:sp>
    <xdr:clientData/>
  </xdr:twoCellAnchor>
  <xdr:twoCellAnchor>
    <xdr:from>
      <xdr:col>8</xdr:col>
      <xdr:colOff>836294</xdr:colOff>
      <xdr:row>3</xdr:row>
      <xdr:rowOff>9525</xdr:rowOff>
    </xdr:from>
    <xdr:to>
      <xdr:col>17</xdr:col>
      <xdr:colOff>476250</xdr:colOff>
      <xdr:row>11</xdr:row>
      <xdr:rowOff>895350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E51FA82-5274-47B5-A748-553D03D3CBAE}"/>
            </a:ext>
          </a:extLst>
        </xdr:cNvPr>
        <xdr:cNvSpPr txBox="1"/>
      </xdr:nvSpPr>
      <xdr:spPr>
        <a:xfrm>
          <a:off x="8170544" y="581025"/>
          <a:ext cx="7555231" cy="2409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400" b="1"/>
            <a:t>2467,50 * 12 =  29610€ coût</a:t>
          </a:r>
          <a:r>
            <a:rPr lang="fr-FR" sz="2400" b="1" baseline="0"/>
            <a:t> annuel</a:t>
          </a:r>
        </a:p>
        <a:p>
          <a:endParaRPr lang="fr-FR" sz="2400" b="1" baseline="0"/>
        </a:p>
        <a:p>
          <a:r>
            <a:rPr lang="fr-FR" sz="2400" b="1" baseline="0"/>
            <a:t>1645  * 0,75 =  1233,75 heures productives annuelle</a:t>
          </a:r>
        </a:p>
        <a:p>
          <a:endParaRPr lang="fr-FR" sz="2400" b="1" baseline="0"/>
        </a:p>
        <a:p>
          <a:r>
            <a:rPr lang="fr-FR" sz="2400" b="1" baseline="0"/>
            <a:t>29610 /  1233,75  =  24€ : coût de l'heure productive</a:t>
          </a:r>
        </a:p>
      </xdr:txBody>
    </xdr:sp>
    <xdr:clientData/>
  </xdr:twoCellAnchor>
  <xdr:twoCellAnchor>
    <xdr:from>
      <xdr:col>9</xdr:col>
      <xdr:colOff>596900</xdr:colOff>
      <xdr:row>36</xdr:row>
      <xdr:rowOff>143510</xdr:rowOff>
    </xdr:from>
    <xdr:to>
      <xdr:col>10</xdr:col>
      <xdr:colOff>802640</xdr:colOff>
      <xdr:row>39</xdr:row>
      <xdr:rowOff>138430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4D34DE9-3CC8-45E9-AE7D-64330247952B}"/>
            </a:ext>
          </a:extLst>
        </xdr:cNvPr>
        <xdr:cNvSpPr txBox="1"/>
      </xdr:nvSpPr>
      <xdr:spPr>
        <a:xfrm>
          <a:off x="8931275" y="9773285"/>
          <a:ext cx="1415415" cy="594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8 lots -&gt; 16 unités</a:t>
          </a:r>
        </a:p>
        <a:p>
          <a:r>
            <a:rPr lang="fr-FR" sz="1100"/>
            <a:t>1 unité -&gt; 0,5 lot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C01C-799A-452D-BF9A-1AEA1DF2E904}">
  <dimension ref="A2:G40"/>
  <sheetViews>
    <sheetView showGridLines="0" tabSelected="1" workbookViewId="0">
      <selection activeCell="O38" sqref="O38"/>
    </sheetView>
  </sheetViews>
  <sheetFormatPr baseColWidth="10" defaultColWidth="11.44140625" defaultRowHeight="14.4" x14ac:dyDescent="0.3"/>
  <cols>
    <col min="1" max="1" width="30.33203125" style="64" customWidth="1"/>
    <col min="2" max="2" width="12.88671875" style="64" bestFit="1" customWidth="1"/>
    <col min="3" max="3" width="11.5546875" style="64" bestFit="1" customWidth="1"/>
    <col min="4" max="4" width="14.33203125" style="64" bestFit="1" customWidth="1"/>
    <col min="5" max="5" width="11.44140625" style="64"/>
    <col min="6" max="6" width="10.88671875" style="64" bestFit="1" customWidth="1"/>
    <col min="7" max="7" width="12.88671875" style="64" bestFit="1" customWidth="1"/>
    <col min="8" max="16384" width="11.44140625" style="64"/>
  </cols>
  <sheetData>
    <row r="2" spans="1:7" x14ac:dyDescent="0.3">
      <c r="A2" s="81" t="s">
        <v>37</v>
      </c>
    </row>
    <row r="5" spans="1:7" x14ac:dyDescent="0.3">
      <c r="A5" s="65"/>
      <c r="B5" s="151" t="s">
        <v>38</v>
      </c>
      <c r="C5" s="151"/>
      <c r="D5" s="151"/>
      <c r="E5" s="151" t="s">
        <v>39</v>
      </c>
      <c r="F5" s="151"/>
      <c r="G5" s="151"/>
    </row>
    <row r="6" spans="1:7" x14ac:dyDescent="0.3">
      <c r="A6" s="65"/>
      <c r="B6" s="66" t="s">
        <v>40</v>
      </c>
      <c r="C6" s="66" t="s">
        <v>41</v>
      </c>
      <c r="D6" s="66" t="s">
        <v>42</v>
      </c>
      <c r="E6" s="66" t="s">
        <v>40</v>
      </c>
      <c r="F6" s="66" t="s">
        <v>41</v>
      </c>
      <c r="G6" s="66" t="s">
        <v>42</v>
      </c>
    </row>
    <row r="7" spans="1:7" x14ac:dyDescent="0.3">
      <c r="A7" s="65" t="s">
        <v>43</v>
      </c>
      <c r="B7" s="67">
        <f>4*300</f>
        <v>1200</v>
      </c>
      <c r="C7" s="68">
        <f>10</f>
        <v>10</v>
      </c>
      <c r="D7" s="68">
        <f>B7*C7</f>
        <v>12000</v>
      </c>
      <c r="E7" s="67">
        <f>8*900</f>
        <v>7200</v>
      </c>
      <c r="F7" s="68">
        <v>10</v>
      </c>
      <c r="G7" s="68">
        <f>E7*F7</f>
        <v>72000</v>
      </c>
    </row>
    <row r="8" spans="1:7" x14ac:dyDescent="0.3">
      <c r="A8" s="65" t="s">
        <v>44</v>
      </c>
      <c r="B8" s="67">
        <f>7*300</f>
        <v>2100</v>
      </c>
      <c r="C8" s="68">
        <v>35</v>
      </c>
      <c r="D8" s="68">
        <f>B8*C8</f>
        <v>73500</v>
      </c>
      <c r="E8" s="67">
        <f>2*900</f>
        <v>1800</v>
      </c>
      <c r="F8" s="68">
        <v>35</v>
      </c>
      <c r="G8" s="68">
        <f>E8*F8</f>
        <v>63000</v>
      </c>
    </row>
    <row r="9" spans="1:7" x14ac:dyDescent="0.3">
      <c r="A9" s="65" t="s">
        <v>45</v>
      </c>
      <c r="B9" s="67">
        <f>B8</f>
        <v>2100</v>
      </c>
      <c r="C9" s="68">
        <f>600000/(B8+E8)</f>
        <v>153.84615384615384</v>
      </c>
      <c r="D9" s="68">
        <f>B9*C9</f>
        <v>323076.92307692306</v>
      </c>
      <c r="E9" s="67">
        <f>E8</f>
        <v>1800</v>
      </c>
      <c r="F9" s="68">
        <f>C9</f>
        <v>153.84615384615384</v>
      </c>
      <c r="G9" s="68">
        <f>E9*F9</f>
        <v>276923.07692307694</v>
      </c>
    </row>
    <row r="10" spans="1:7" x14ac:dyDescent="0.3">
      <c r="A10" s="70" t="s">
        <v>46</v>
      </c>
      <c r="B10" s="71">
        <v>300</v>
      </c>
      <c r="C10" s="72">
        <f>D10/B10</f>
        <v>1361.9230769230769</v>
      </c>
      <c r="D10" s="72">
        <f>SUM(D7:D9)</f>
        <v>408576.92307692306</v>
      </c>
      <c r="E10" s="71">
        <v>900</v>
      </c>
      <c r="F10" s="72">
        <f>G10/E10</f>
        <v>457.69230769230768</v>
      </c>
      <c r="G10" s="72">
        <f>SUM(G7:G9)</f>
        <v>411923.07692307694</v>
      </c>
    </row>
    <row r="11" spans="1:7" x14ac:dyDescent="0.3">
      <c r="A11" s="70" t="s">
        <v>47</v>
      </c>
      <c r="B11" s="71">
        <v>300</v>
      </c>
      <c r="C11" s="73">
        <v>1300</v>
      </c>
      <c r="D11" s="73">
        <f>B11*C11</f>
        <v>390000</v>
      </c>
      <c r="E11" s="71">
        <v>900</v>
      </c>
      <c r="F11" s="73">
        <v>500</v>
      </c>
      <c r="G11" s="73">
        <f>E11*F11</f>
        <v>450000</v>
      </c>
    </row>
    <row r="12" spans="1:7" x14ac:dyDescent="0.3">
      <c r="A12" s="70" t="s">
        <v>48</v>
      </c>
      <c r="B12" s="71">
        <f>B11</f>
        <v>300</v>
      </c>
      <c r="C12" s="72">
        <f>D12/B12</f>
        <v>-61.923076923076877</v>
      </c>
      <c r="D12" s="72">
        <f>D11-D10</f>
        <v>-18576.923076923063</v>
      </c>
      <c r="E12" s="71">
        <f>E11</f>
        <v>900</v>
      </c>
      <c r="F12" s="72">
        <f>G12/E12</f>
        <v>42.307692307692292</v>
      </c>
      <c r="G12" s="72">
        <f>G11-G10</f>
        <v>38076.923076923063</v>
      </c>
    </row>
    <row r="15" spans="1:7" x14ac:dyDescent="0.3">
      <c r="A15" s="81" t="s">
        <v>49</v>
      </c>
    </row>
    <row r="18" spans="1:7" x14ac:dyDescent="0.3">
      <c r="A18" s="65"/>
      <c r="B18" s="151" t="s">
        <v>38</v>
      </c>
      <c r="C18" s="151"/>
      <c r="D18" s="151"/>
      <c r="E18" s="151" t="s">
        <v>39</v>
      </c>
      <c r="F18" s="151"/>
      <c r="G18" s="151"/>
    </row>
    <row r="19" spans="1:7" x14ac:dyDescent="0.3">
      <c r="A19" s="65"/>
      <c r="B19" s="66" t="s">
        <v>40</v>
      </c>
      <c r="C19" s="66" t="s">
        <v>41</v>
      </c>
      <c r="D19" s="66" t="s">
        <v>42</v>
      </c>
      <c r="E19" s="66" t="s">
        <v>40</v>
      </c>
      <c r="F19" s="66" t="s">
        <v>41</v>
      </c>
      <c r="G19" s="66" t="s">
        <v>42</v>
      </c>
    </row>
    <row r="20" spans="1:7" x14ac:dyDescent="0.3">
      <c r="A20" s="65" t="s">
        <v>43</v>
      </c>
      <c r="B20" s="67">
        <f>4*300</f>
        <v>1200</v>
      </c>
      <c r="C20" s="68">
        <f>10</f>
        <v>10</v>
      </c>
      <c r="D20" s="68">
        <f>B20*C20</f>
        <v>12000</v>
      </c>
      <c r="E20" s="67">
        <f>8*900</f>
        <v>7200</v>
      </c>
      <c r="F20" s="68">
        <v>10</v>
      </c>
      <c r="G20" s="68">
        <f>E20*F20</f>
        <v>72000</v>
      </c>
    </row>
    <row r="21" spans="1:7" x14ac:dyDescent="0.3">
      <c r="A21" s="65" t="s">
        <v>44</v>
      </c>
      <c r="B21" s="67">
        <f>7*300</f>
        <v>2100</v>
      </c>
      <c r="C21" s="68">
        <v>35</v>
      </c>
      <c r="D21" s="68">
        <f>B21*C21</f>
        <v>73500</v>
      </c>
      <c r="E21" s="67">
        <f>2*900</f>
        <v>1800</v>
      </c>
      <c r="F21" s="68">
        <v>35</v>
      </c>
      <c r="G21" s="68">
        <f>E21*F21</f>
        <v>63000</v>
      </c>
    </row>
    <row r="22" spans="1:7" x14ac:dyDescent="0.3">
      <c r="A22" s="65" t="s">
        <v>45</v>
      </c>
      <c r="B22" s="67">
        <v>300</v>
      </c>
      <c r="C22" s="68">
        <f>600000/(300+900)</f>
        <v>500</v>
      </c>
      <c r="D22" s="68">
        <f>B22*C22</f>
        <v>150000</v>
      </c>
      <c r="E22" s="67">
        <v>900</v>
      </c>
      <c r="F22" s="68">
        <f>C22</f>
        <v>500</v>
      </c>
      <c r="G22" s="68">
        <f>E22*F22</f>
        <v>450000</v>
      </c>
    </row>
    <row r="23" spans="1:7" x14ac:dyDescent="0.3">
      <c r="A23" s="70" t="s">
        <v>46</v>
      </c>
      <c r="B23" s="71">
        <v>300</v>
      </c>
      <c r="C23" s="72">
        <f>D23/B23</f>
        <v>785</v>
      </c>
      <c r="D23" s="72">
        <f>SUM(D20:D22)</f>
        <v>235500</v>
      </c>
      <c r="E23" s="71">
        <v>900</v>
      </c>
      <c r="F23" s="72">
        <f>G23/E23</f>
        <v>650</v>
      </c>
      <c r="G23" s="72">
        <f>SUM(G20:G22)</f>
        <v>585000</v>
      </c>
    </row>
    <row r="24" spans="1:7" x14ac:dyDescent="0.3">
      <c r="A24" s="70" t="s">
        <v>47</v>
      </c>
      <c r="B24" s="71">
        <v>300</v>
      </c>
      <c r="C24" s="73">
        <v>1300</v>
      </c>
      <c r="D24" s="73">
        <f>B24*C24</f>
        <v>390000</v>
      </c>
      <c r="E24" s="71">
        <v>900</v>
      </c>
      <c r="F24" s="73">
        <v>500</v>
      </c>
      <c r="G24" s="73">
        <f>E24*F24</f>
        <v>450000</v>
      </c>
    </row>
    <row r="25" spans="1:7" x14ac:dyDescent="0.3">
      <c r="A25" s="70" t="s">
        <v>48</v>
      </c>
      <c r="B25" s="71">
        <f>B24</f>
        <v>300</v>
      </c>
      <c r="C25" s="72">
        <f>D25/B25</f>
        <v>515</v>
      </c>
      <c r="D25" s="72">
        <f>D24-D23</f>
        <v>154500</v>
      </c>
      <c r="E25" s="71">
        <f>E24</f>
        <v>900</v>
      </c>
      <c r="F25" s="72">
        <f>G25/E25</f>
        <v>-150</v>
      </c>
      <c r="G25" s="72">
        <f>G24-G23</f>
        <v>-135000</v>
      </c>
    </row>
    <row r="28" spans="1:7" x14ac:dyDescent="0.3">
      <c r="A28" s="74" t="s">
        <v>50</v>
      </c>
    </row>
    <row r="30" spans="1:7" x14ac:dyDescent="0.3">
      <c r="A30" s="64" t="s">
        <v>51</v>
      </c>
    </row>
    <row r="32" spans="1:7" x14ac:dyDescent="0.3">
      <c r="A32" s="80" t="s">
        <v>52</v>
      </c>
    </row>
    <row r="34" spans="1:2" x14ac:dyDescent="0.3">
      <c r="A34" s="75" t="s">
        <v>45</v>
      </c>
      <c r="B34" s="76">
        <v>600000</v>
      </c>
    </row>
    <row r="35" spans="1:2" x14ac:dyDescent="0.3">
      <c r="A35" s="75" t="s">
        <v>53</v>
      </c>
      <c r="B35" s="77">
        <f>SUM(D20:D22)+SUM(G20:G22)</f>
        <v>820500</v>
      </c>
    </row>
    <row r="36" spans="1:2" x14ac:dyDescent="0.3">
      <c r="A36" s="78" t="s">
        <v>54</v>
      </c>
      <c r="B36" s="79">
        <f>B34/B35</f>
        <v>0.73126142595978061</v>
      </c>
    </row>
    <row r="38" spans="1:2" x14ac:dyDescent="0.3">
      <c r="A38" s="83" t="s">
        <v>55</v>
      </c>
    </row>
    <row r="40" spans="1:2" x14ac:dyDescent="0.3">
      <c r="A40" s="82" t="s">
        <v>56</v>
      </c>
    </row>
  </sheetData>
  <mergeCells count="4">
    <mergeCell ref="B5:D5"/>
    <mergeCell ref="E5:G5"/>
    <mergeCell ref="B18:D18"/>
    <mergeCell ref="E18:G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showGridLines="0" zoomScale="130" zoomScaleNormal="130" workbookViewId="0">
      <selection activeCell="J39" sqref="J39"/>
    </sheetView>
  </sheetViews>
  <sheetFormatPr baseColWidth="10" defaultRowHeight="14.4" x14ac:dyDescent="0.3"/>
  <cols>
    <col min="1" max="1" width="29.44140625" customWidth="1"/>
    <col min="2" max="2" width="18.33203125" customWidth="1"/>
    <col min="3" max="3" width="17.109375" customWidth="1"/>
    <col min="4" max="4" width="18.109375" bestFit="1" customWidth="1"/>
    <col min="5" max="5" width="17.6640625" customWidth="1"/>
    <col min="6" max="6" width="13.109375" customWidth="1"/>
    <col min="7" max="7" width="26.5546875" customWidth="1"/>
    <col min="9" max="9" width="13.6640625" bestFit="1" customWidth="1"/>
  </cols>
  <sheetData>
    <row r="1" spans="1:10" ht="15" thickBot="1" x14ac:dyDescent="0.35">
      <c r="B1" s="152">
        <v>290000</v>
      </c>
      <c r="C1" s="152"/>
      <c r="D1" s="152"/>
      <c r="E1" s="152">
        <v>235000</v>
      </c>
      <c r="F1" s="152"/>
      <c r="G1" s="152"/>
    </row>
    <row r="2" spans="1:10" ht="16.2" thickBot="1" x14ac:dyDescent="0.35">
      <c r="A2" s="156" t="s">
        <v>8</v>
      </c>
      <c r="B2" s="158" t="s">
        <v>29</v>
      </c>
      <c r="C2" s="159"/>
      <c r="D2" s="160"/>
      <c r="E2" s="158" t="s">
        <v>30</v>
      </c>
      <c r="F2" s="159"/>
      <c r="G2" s="160"/>
    </row>
    <row r="3" spans="1:10" ht="16.2" thickBot="1" x14ac:dyDescent="0.35">
      <c r="A3" s="157"/>
      <c r="B3" s="2" t="s">
        <v>5</v>
      </c>
      <c r="C3" s="3" t="s">
        <v>9</v>
      </c>
      <c r="D3" s="3" t="s">
        <v>10</v>
      </c>
      <c r="E3" s="2" t="s">
        <v>5</v>
      </c>
      <c r="F3" s="3" t="s">
        <v>9</v>
      </c>
      <c r="G3" s="3" t="s">
        <v>10</v>
      </c>
    </row>
    <row r="4" spans="1:10" ht="16.2" thickBot="1" x14ac:dyDescent="0.35">
      <c r="A4" s="4" t="s">
        <v>11</v>
      </c>
      <c r="B4" s="19">
        <f>0.5*290000/1000</f>
        <v>145</v>
      </c>
      <c r="C4" s="20">
        <v>1500</v>
      </c>
      <c r="D4" s="20">
        <f>B4*C4</f>
        <v>217500</v>
      </c>
      <c r="E4" s="19">
        <v>94000</v>
      </c>
      <c r="F4" s="21">
        <v>1</v>
      </c>
      <c r="G4" s="21">
        <f>E4*F4</f>
        <v>94000</v>
      </c>
    </row>
    <row r="5" spans="1:10" ht="16.2" thickBot="1" x14ac:dyDescent="0.35">
      <c r="A5" s="4" t="s">
        <v>12</v>
      </c>
      <c r="B5" s="62">
        <f>0.75*290000/1200</f>
        <v>181.25</v>
      </c>
      <c r="C5" s="20">
        <v>36</v>
      </c>
      <c r="D5" s="20">
        <f>B5*C5</f>
        <v>6525</v>
      </c>
      <c r="E5" s="61">
        <f>1*235000/1200</f>
        <v>195.83333333333334</v>
      </c>
      <c r="F5" s="21">
        <v>36</v>
      </c>
      <c r="G5" s="21">
        <f>E5*F5</f>
        <v>7050</v>
      </c>
    </row>
    <row r="6" spans="1:10" ht="16.2" thickBot="1" x14ac:dyDescent="0.35">
      <c r="A6" s="4" t="s">
        <v>13</v>
      </c>
      <c r="B6" s="19">
        <f>5*290000/1000</f>
        <v>1450</v>
      </c>
      <c r="C6" s="20">
        <v>3</v>
      </c>
      <c r="D6" s="20">
        <f>B6*C6</f>
        <v>4350</v>
      </c>
      <c r="E6" s="19">
        <f>235000*5/1000</f>
        <v>1175</v>
      </c>
      <c r="F6" s="21">
        <v>3</v>
      </c>
      <c r="G6" s="21">
        <f>E6*F6</f>
        <v>3525</v>
      </c>
      <c r="J6">
        <f>290000</f>
        <v>290000</v>
      </c>
    </row>
    <row r="7" spans="1:10" ht="16.2" thickBot="1" x14ac:dyDescent="0.35">
      <c r="A7" s="4" t="s">
        <v>14</v>
      </c>
      <c r="B7" s="19">
        <f>290000/5000</f>
        <v>58</v>
      </c>
      <c r="C7" s="20">
        <v>2700</v>
      </c>
      <c r="D7" s="20">
        <f>B7*C7</f>
        <v>156600</v>
      </c>
      <c r="E7" s="19">
        <f>235000/5000</f>
        <v>47</v>
      </c>
      <c r="F7" s="21">
        <v>2700</v>
      </c>
      <c r="G7" s="21">
        <f>E7*F7</f>
        <v>126900</v>
      </c>
      <c r="J7">
        <v>0.5</v>
      </c>
    </row>
    <row r="8" spans="1:10" ht="18" thickBot="1" x14ac:dyDescent="0.35">
      <c r="A8" s="28" t="s">
        <v>15</v>
      </c>
      <c r="B8" s="29">
        <v>290000</v>
      </c>
      <c r="C8" s="30">
        <f>D8/B8</f>
        <v>1.3274999999999999</v>
      </c>
      <c r="D8" s="31">
        <f>SUM(D4:D7)</f>
        <v>384975</v>
      </c>
      <c r="E8" s="29">
        <v>235000</v>
      </c>
      <c r="F8" s="32">
        <f>G8/E8</f>
        <v>0.98499999999999999</v>
      </c>
      <c r="G8" s="33">
        <f>SUM(G4:G7)</f>
        <v>231475</v>
      </c>
      <c r="J8">
        <f>J6*J7</f>
        <v>145000</v>
      </c>
    </row>
    <row r="9" spans="1:10" ht="16.2" thickBot="1" x14ac:dyDescent="0.35">
      <c r="A9" s="23" t="s">
        <v>16</v>
      </c>
      <c r="B9" s="24">
        <v>145000</v>
      </c>
      <c r="C9" s="25">
        <v>1.5565</v>
      </c>
      <c r="D9" s="26">
        <f>B9*C9</f>
        <v>225692.5</v>
      </c>
      <c r="E9" s="24">
        <v>94000</v>
      </c>
      <c r="F9" s="25">
        <v>1.5565</v>
      </c>
      <c r="G9" s="27">
        <f>E9*F9</f>
        <v>146311</v>
      </c>
      <c r="J9">
        <f>J8/1000</f>
        <v>145</v>
      </c>
    </row>
    <row r="10" spans="1:10" ht="16.2" thickBot="1" x14ac:dyDescent="0.35">
      <c r="A10" s="13" t="s">
        <v>17</v>
      </c>
      <c r="B10" s="14">
        <v>290000</v>
      </c>
      <c r="C10" s="15">
        <f>D10/B10</f>
        <v>2.10575</v>
      </c>
      <c r="D10" s="17">
        <f>D9+D8</f>
        <v>610667.5</v>
      </c>
      <c r="E10" s="14">
        <v>235000</v>
      </c>
      <c r="F10" s="16">
        <f>G10/E10</f>
        <v>1.6075999999999999</v>
      </c>
      <c r="G10" s="18">
        <f>G8+G9</f>
        <v>377786</v>
      </c>
    </row>
    <row r="11" spans="1:10" ht="15.6" x14ac:dyDescent="0.3">
      <c r="A11" s="5"/>
      <c r="B11" s="6"/>
      <c r="C11" s="7"/>
      <c r="D11" s="7"/>
      <c r="E11" s="6"/>
      <c r="F11" s="7"/>
      <c r="G11" s="7"/>
    </row>
    <row r="12" spans="1:10" ht="15.6" x14ac:dyDescent="0.3">
      <c r="A12" s="5"/>
      <c r="B12" s="6"/>
      <c r="C12" s="7"/>
      <c r="D12" s="7"/>
      <c r="E12" s="6"/>
      <c r="F12" s="7"/>
      <c r="G12" s="7"/>
    </row>
    <row r="13" spans="1:10" ht="15.6" x14ac:dyDescent="0.3">
      <c r="A13" s="5"/>
      <c r="B13" s="6"/>
      <c r="C13" s="7"/>
      <c r="D13" s="7"/>
      <c r="E13" s="6"/>
      <c r="F13" s="7"/>
      <c r="G13" s="22">
        <f>G9+D9</f>
        <v>372003.5</v>
      </c>
    </row>
    <row r="14" spans="1:10" ht="15.6" x14ac:dyDescent="0.3">
      <c r="A14" s="5"/>
      <c r="B14" s="6"/>
      <c r="C14" s="7" t="s">
        <v>34</v>
      </c>
      <c r="D14" s="7"/>
      <c r="E14" s="6"/>
      <c r="F14" s="7"/>
      <c r="G14" s="22"/>
    </row>
    <row r="15" spans="1:10" ht="15.6" x14ac:dyDescent="0.3">
      <c r="A15" s="5"/>
      <c r="B15" s="6"/>
      <c r="C15" s="7"/>
      <c r="D15" s="22"/>
      <c r="E15" s="6"/>
      <c r="F15" s="7"/>
      <c r="G15" s="7"/>
    </row>
    <row r="16" spans="1:10" ht="15.6" x14ac:dyDescent="0.3">
      <c r="A16" s="5"/>
      <c r="B16" s="6"/>
      <c r="C16" s="7"/>
      <c r="D16" s="7"/>
      <c r="E16" s="6"/>
      <c r="F16" s="7"/>
      <c r="G16" s="7"/>
    </row>
    <row r="17" spans="1:7" ht="15.6" x14ac:dyDescent="0.3">
      <c r="A17" s="5"/>
      <c r="B17" s="6"/>
      <c r="C17" s="7"/>
      <c r="D17" s="7"/>
      <c r="E17" s="6"/>
      <c r="F17" s="7"/>
      <c r="G17" s="7"/>
    </row>
    <row r="18" spans="1:7" ht="15.6" x14ac:dyDescent="0.3">
      <c r="A18" s="5"/>
      <c r="B18" s="6"/>
      <c r="C18" s="7"/>
      <c r="D18" s="7"/>
      <c r="E18" s="6"/>
      <c r="F18" s="7"/>
      <c r="G18" s="22"/>
    </row>
    <row r="19" spans="1:7" ht="15.6" x14ac:dyDescent="0.3">
      <c r="A19" s="5"/>
      <c r="B19" s="6"/>
      <c r="C19" s="7"/>
      <c r="D19" s="7"/>
      <c r="E19" s="6"/>
      <c r="F19" s="7"/>
      <c r="G19" s="7"/>
    </row>
    <row r="20" spans="1:7" ht="15.6" x14ac:dyDescent="0.3">
      <c r="A20" s="5"/>
      <c r="B20" s="6"/>
      <c r="C20" s="7"/>
      <c r="D20" s="7"/>
      <c r="E20" s="6"/>
      <c r="F20" s="7"/>
      <c r="G20" s="7"/>
    </row>
    <row r="21" spans="1:7" ht="15.6" x14ac:dyDescent="0.3">
      <c r="A21" s="5"/>
      <c r="B21" s="6"/>
      <c r="C21" s="7"/>
      <c r="D21" s="7"/>
      <c r="E21" s="6"/>
      <c r="F21" s="7"/>
      <c r="G21" s="7"/>
    </row>
    <row r="22" spans="1:7" ht="15.6" x14ac:dyDescent="0.3">
      <c r="A22" s="5"/>
      <c r="B22" s="6"/>
      <c r="C22" s="7"/>
      <c r="D22" s="9"/>
      <c r="E22" s="10"/>
      <c r="F22" s="9"/>
      <c r="G22" s="7"/>
    </row>
    <row r="23" spans="1:7" ht="15.6" x14ac:dyDescent="0.3">
      <c r="D23" s="9"/>
      <c r="E23" s="10"/>
      <c r="F23" s="9"/>
    </row>
    <row r="24" spans="1:7" x14ac:dyDescent="0.3">
      <c r="D24" s="11"/>
      <c r="E24" s="11"/>
      <c r="F24" s="12"/>
    </row>
    <row r="25" spans="1:7" x14ac:dyDescent="0.3">
      <c r="D25" s="11"/>
      <c r="E25" s="11"/>
      <c r="F25" s="11"/>
    </row>
    <row r="26" spans="1:7" x14ac:dyDescent="0.3">
      <c r="D26" s="11"/>
      <c r="E26" s="11"/>
      <c r="F26" s="11"/>
    </row>
    <row r="37" spans="1:9" ht="15" thickBot="1" x14ac:dyDescent="0.35"/>
    <row r="38" spans="1:9" s="1" customFormat="1" ht="31.8" thickBot="1" x14ac:dyDescent="0.35">
      <c r="A38" s="53" t="s">
        <v>2</v>
      </c>
      <c r="B38" s="54" t="s">
        <v>19</v>
      </c>
      <c r="C38" s="54" t="s">
        <v>1</v>
      </c>
      <c r="D38" s="54" t="s">
        <v>20</v>
      </c>
      <c r="E38" s="58" t="s">
        <v>21</v>
      </c>
    </row>
    <row r="39" spans="1:9" s="1" customFormat="1" ht="31.8" thickBot="1" x14ac:dyDescent="0.35">
      <c r="A39" s="55" t="s">
        <v>22</v>
      </c>
      <c r="B39" s="56" t="s">
        <v>23</v>
      </c>
      <c r="C39" s="57" t="s">
        <v>24</v>
      </c>
      <c r="D39" s="57">
        <v>4</v>
      </c>
      <c r="E39" s="59" t="s">
        <v>25</v>
      </c>
    </row>
    <row r="40" spans="1:9" s="1" customFormat="1" ht="16.2" thickBot="1" x14ac:dyDescent="0.35">
      <c r="A40" s="55" t="s">
        <v>26</v>
      </c>
      <c r="B40" s="161">
        <f>90400+111600</f>
        <v>202000</v>
      </c>
      <c r="C40" s="163" t="s">
        <v>27</v>
      </c>
      <c r="D40" s="163">
        <v>290</v>
      </c>
      <c r="E40" s="165">
        <v>696.55</v>
      </c>
    </row>
    <row r="41" spans="1:9" s="1" customFormat="1" ht="16.2" thickBot="1" x14ac:dyDescent="0.35">
      <c r="A41" s="55" t="s">
        <v>28</v>
      </c>
      <c r="B41" s="162"/>
      <c r="C41" s="164"/>
      <c r="D41" s="164"/>
      <c r="E41" s="166"/>
    </row>
    <row r="43" spans="1:9" ht="15.6" x14ac:dyDescent="0.3">
      <c r="A43" s="154" t="s">
        <v>3</v>
      </c>
      <c r="B43" s="155"/>
      <c r="C43" s="155"/>
      <c r="D43" s="155"/>
      <c r="E43" s="155"/>
      <c r="F43" s="155"/>
      <c r="G43" s="155"/>
    </row>
    <row r="44" spans="1:9" ht="15.6" x14ac:dyDescent="0.3">
      <c r="A44" s="44"/>
      <c r="B44" s="153" t="s">
        <v>31</v>
      </c>
      <c r="C44" s="153"/>
      <c r="D44" s="153"/>
      <c r="E44" s="153" t="s">
        <v>32</v>
      </c>
      <c r="F44" s="153"/>
      <c r="G44" s="153"/>
    </row>
    <row r="45" spans="1:9" ht="15.6" x14ac:dyDescent="0.3">
      <c r="A45" s="45"/>
      <c r="B45" s="34" t="s">
        <v>5</v>
      </c>
      <c r="C45" s="35" t="s">
        <v>6</v>
      </c>
      <c r="D45" s="35" t="s">
        <v>7</v>
      </c>
      <c r="E45" s="34" t="s">
        <v>5</v>
      </c>
      <c r="F45" s="35" t="s">
        <v>6</v>
      </c>
      <c r="G45" s="35" t="s">
        <v>7</v>
      </c>
    </row>
    <row r="46" spans="1:9" ht="15.6" x14ac:dyDescent="0.3">
      <c r="A46" s="36" t="s">
        <v>4</v>
      </c>
      <c r="B46" s="37">
        <v>290000</v>
      </c>
      <c r="C46" s="38">
        <f>C8</f>
        <v>1.3274999999999999</v>
      </c>
      <c r="D46" s="39">
        <f>B46*C46</f>
        <v>384975</v>
      </c>
      <c r="E46" s="37">
        <v>235000</v>
      </c>
      <c r="F46" s="38">
        <f>F8</f>
        <v>0.98499999999999999</v>
      </c>
      <c r="G46" s="39">
        <f>E46*F46</f>
        <v>231475</v>
      </c>
    </row>
    <row r="47" spans="1:9" ht="15.6" x14ac:dyDescent="0.3">
      <c r="A47" s="50" t="s">
        <v>33</v>
      </c>
      <c r="B47" s="51">
        <v>2</v>
      </c>
      <c r="C47" s="52" t="str">
        <f>E39</f>
        <v>42 500 €</v>
      </c>
      <c r="D47" s="52">
        <v>85000</v>
      </c>
      <c r="E47" s="51">
        <v>2</v>
      </c>
      <c r="F47" s="52" t="str">
        <f>E39</f>
        <v>42 500 €</v>
      </c>
      <c r="G47" s="52">
        <v>85000</v>
      </c>
    </row>
    <row r="48" spans="1:9" ht="15.6" x14ac:dyDescent="0.3">
      <c r="A48" s="50" t="s">
        <v>0</v>
      </c>
      <c r="B48" s="51">
        <v>110</v>
      </c>
      <c r="C48" s="52">
        <f>E40</f>
        <v>696.55</v>
      </c>
      <c r="D48" s="52">
        <f>B48*C48</f>
        <v>76620.5</v>
      </c>
      <c r="E48" s="51">
        <v>180</v>
      </c>
      <c r="F48" s="52">
        <f>E40</f>
        <v>696.55</v>
      </c>
      <c r="G48" s="52">
        <f>E48*F48</f>
        <v>125378.99999999999</v>
      </c>
      <c r="I48" s="8">
        <f>D47+G47+D48+G48</f>
        <v>371999.5</v>
      </c>
    </row>
    <row r="49" spans="1:7" ht="31.2" x14ac:dyDescent="0.3">
      <c r="A49" s="40" t="s">
        <v>18</v>
      </c>
      <c r="B49" s="41">
        <v>290000</v>
      </c>
      <c r="C49" s="63">
        <f>D49/B49</f>
        <v>1.8848120689655172</v>
      </c>
      <c r="D49" s="42">
        <f>D46+D47+D48</f>
        <v>546595.5</v>
      </c>
      <c r="E49" s="43">
        <v>235000</v>
      </c>
      <c r="F49" s="63">
        <f>G49/E49</f>
        <v>1.8802297872340425</v>
      </c>
      <c r="G49" s="42">
        <f>G46+G47+G48</f>
        <v>441854</v>
      </c>
    </row>
    <row r="50" spans="1:7" ht="15.6" x14ac:dyDescent="0.3">
      <c r="A50" t="s">
        <v>36</v>
      </c>
      <c r="C50" s="49">
        <v>2.10575</v>
      </c>
      <c r="F50" s="48">
        <v>1.6075999999999999</v>
      </c>
    </row>
    <row r="51" spans="1:7" x14ac:dyDescent="0.3">
      <c r="E51" s="8"/>
      <c r="G51" s="8"/>
    </row>
    <row r="52" spans="1:7" x14ac:dyDescent="0.3">
      <c r="A52" s="46"/>
      <c r="B52" s="46"/>
      <c r="C52" s="46"/>
      <c r="D52" s="47"/>
      <c r="E52" s="46"/>
      <c r="F52" s="46"/>
      <c r="G52" s="46"/>
    </row>
    <row r="53" spans="1:7" x14ac:dyDescent="0.3">
      <c r="A53" s="46"/>
      <c r="B53" s="46"/>
      <c r="C53" s="46"/>
      <c r="D53" s="46"/>
      <c r="E53" s="46"/>
      <c r="F53" s="46"/>
      <c r="G53" s="46"/>
    </row>
    <row r="54" spans="1:7" x14ac:dyDescent="0.3">
      <c r="A54" s="46"/>
      <c r="B54" s="46"/>
      <c r="C54" s="46"/>
      <c r="D54" s="46"/>
      <c r="E54" s="46"/>
      <c r="F54" s="46"/>
      <c r="G54" s="46"/>
    </row>
    <row r="55" spans="1:7" x14ac:dyDescent="0.3">
      <c r="A55" s="46"/>
      <c r="B55" s="46"/>
      <c r="C55" s="46"/>
      <c r="D55" s="46"/>
      <c r="E55" s="46"/>
      <c r="F55" s="46"/>
      <c r="G55" s="46"/>
    </row>
    <row r="56" spans="1:7" x14ac:dyDescent="0.3">
      <c r="A56" s="46"/>
      <c r="B56" s="46"/>
      <c r="C56" s="46"/>
      <c r="D56" s="46"/>
      <c r="E56" s="46"/>
      <c r="F56" s="46"/>
      <c r="G56" s="46"/>
    </row>
    <row r="57" spans="1:7" x14ac:dyDescent="0.3">
      <c r="A57" s="46"/>
      <c r="B57" s="46"/>
      <c r="C57" s="46"/>
      <c r="D57" s="46"/>
      <c r="E57" s="46"/>
      <c r="F57" s="46"/>
      <c r="G57" s="46"/>
    </row>
    <row r="58" spans="1:7" x14ac:dyDescent="0.3">
      <c r="A58" s="46"/>
      <c r="B58" s="46"/>
      <c r="C58" s="46"/>
      <c r="D58" s="46"/>
      <c r="E58" s="46"/>
      <c r="F58" s="46"/>
      <c r="G58" s="46"/>
    </row>
  </sheetData>
  <mergeCells count="12">
    <mergeCell ref="B1:D1"/>
    <mergeCell ref="E1:G1"/>
    <mergeCell ref="B44:D44"/>
    <mergeCell ref="E44:G44"/>
    <mergeCell ref="A43:G43"/>
    <mergeCell ref="A2:A3"/>
    <mergeCell ref="B2:D2"/>
    <mergeCell ref="E2:G2"/>
    <mergeCell ref="B40:B41"/>
    <mergeCell ref="C40:C41"/>
    <mergeCell ref="D40:D41"/>
    <mergeCell ref="E40:E4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B331-0762-4BC2-A7B6-DEA83B2ADBE3}">
  <dimension ref="A2:K51"/>
  <sheetViews>
    <sheetView showGridLines="0" topLeftCell="A21" zoomScale="160" zoomScaleNormal="160" workbookViewId="0">
      <selection activeCell="I22" sqref="I22"/>
    </sheetView>
  </sheetViews>
  <sheetFormatPr baseColWidth="10" defaultRowHeight="14.4" x14ac:dyDescent="0.3"/>
  <cols>
    <col min="2" max="2" width="33.109375" customWidth="1"/>
    <col min="3" max="3" width="14.5546875" customWidth="1"/>
    <col min="4" max="4" width="11.88671875" bestFit="1" customWidth="1"/>
    <col min="5" max="5" width="14.88671875" bestFit="1" customWidth="1"/>
    <col min="6" max="6" width="7.33203125" customWidth="1"/>
    <col min="7" max="7" width="6.6640625" bestFit="1" customWidth="1"/>
    <col min="8" max="8" width="10.109375" customWidth="1"/>
    <col min="9" max="9" width="15.44140625" customWidth="1"/>
    <col min="10" max="10" width="18.109375" customWidth="1"/>
    <col min="11" max="11" width="16.5546875" customWidth="1"/>
  </cols>
  <sheetData>
    <row r="2" spans="1:11" x14ac:dyDescent="0.3">
      <c r="A2" s="81" t="s">
        <v>57</v>
      </c>
    </row>
    <row r="4" spans="1:11" x14ac:dyDescent="0.3">
      <c r="B4" s="84"/>
      <c r="C4" s="86" t="s">
        <v>67</v>
      </c>
      <c r="D4" s="86" t="s">
        <v>68</v>
      </c>
      <c r="E4" s="86" t="s">
        <v>69</v>
      </c>
      <c r="F4" s="87" t="s">
        <v>35</v>
      </c>
    </row>
    <row r="5" spans="1:11" x14ac:dyDescent="0.3">
      <c r="B5" s="84" t="s">
        <v>70</v>
      </c>
      <c r="C5" s="86">
        <v>16</v>
      </c>
      <c r="D5" s="86">
        <v>55</v>
      </c>
      <c r="E5" s="86">
        <v>20</v>
      </c>
      <c r="F5" s="78"/>
    </row>
    <row r="6" spans="1:11" x14ac:dyDescent="0.3">
      <c r="B6" s="84" t="s">
        <v>71</v>
      </c>
      <c r="C6" s="86">
        <v>15</v>
      </c>
      <c r="D6" s="86">
        <v>6</v>
      </c>
      <c r="E6" s="86">
        <v>6</v>
      </c>
      <c r="F6" s="78"/>
    </row>
    <row r="7" spans="1:11" x14ac:dyDescent="0.3">
      <c r="B7" s="84" t="s">
        <v>72</v>
      </c>
      <c r="C7" s="86">
        <f>C5*C6</f>
        <v>240</v>
      </c>
      <c r="D7" s="86">
        <f t="shared" ref="D7:E7" si="0">D5*D6</f>
        <v>330</v>
      </c>
      <c r="E7" s="86">
        <f t="shared" si="0"/>
        <v>120</v>
      </c>
      <c r="F7" s="78">
        <f>C7+D7+E7</f>
        <v>690</v>
      </c>
    </row>
    <row r="8" spans="1:11" x14ac:dyDescent="0.3">
      <c r="B8" s="171" t="s">
        <v>73</v>
      </c>
      <c r="C8" s="172"/>
      <c r="D8" s="172"/>
      <c r="E8" s="173"/>
      <c r="F8" s="78">
        <v>102.8125</v>
      </c>
    </row>
    <row r="9" spans="1:11" x14ac:dyDescent="0.3">
      <c r="B9" s="171" t="s">
        <v>74</v>
      </c>
      <c r="C9" s="172"/>
      <c r="D9" s="172"/>
      <c r="E9" s="173"/>
      <c r="F9" s="78">
        <f>F7/F8</f>
        <v>6.7112462006079028</v>
      </c>
    </row>
    <row r="10" spans="1:11" x14ac:dyDescent="0.3">
      <c r="F10" t="s">
        <v>75</v>
      </c>
    </row>
    <row r="11" spans="1:11" x14ac:dyDescent="0.3">
      <c r="A11" s="81" t="s">
        <v>66</v>
      </c>
    </row>
    <row r="12" spans="1:11" ht="117.75" customHeight="1" x14ac:dyDescent="0.3"/>
    <row r="13" spans="1:11" ht="15" thickBot="1" x14ac:dyDescent="0.35">
      <c r="A13" s="81" t="s">
        <v>61</v>
      </c>
    </row>
    <row r="14" spans="1:11" ht="31.8" thickBot="1" x14ac:dyDescent="0.35">
      <c r="B14" s="93" t="s">
        <v>2</v>
      </c>
      <c r="C14" s="93" t="s">
        <v>76</v>
      </c>
      <c r="D14" s="93" t="s">
        <v>77</v>
      </c>
      <c r="E14" s="93" t="s">
        <v>78</v>
      </c>
      <c r="H14" s="94" t="s">
        <v>79</v>
      </c>
      <c r="I14" s="60" t="s">
        <v>0</v>
      </c>
      <c r="J14" s="60" t="s">
        <v>80</v>
      </c>
      <c r="K14" s="60" t="s">
        <v>63</v>
      </c>
    </row>
    <row r="15" spans="1:11" ht="16.2" thickBot="1" x14ac:dyDescent="0.35">
      <c r="B15" s="95" t="s">
        <v>81</v>
      </c>
      <c r="C15" s="96">
        <v>48300</v>
      </c>
      <c r="D15" s="97" t="s">
        <v>82</v>
      </c>
      <c r="E15" s="98">
        <f>C15/20</f>
        <v>2415</v>
      </c>
      <c r="H15" s="99" t="s">
        <v>83</v>
      </c>
      <c r="I15" s="2" t="s">
        <v>84</v>
      </c>
      <c r="J15" s="2">
        <v>16</v>
      </c>
      <c r="K15" s="2">
        <f>16*15</f>
        <v>240</v>
      </c>
    </row>
    <row r="16" spans="1:11" ht="16.2" thickBot="1" x14ac:dyDescent="0.35">
      <c r="B16" s="95" t="s">
        <v>85</v>
      </c>
      <c r="C16" s="96">
        <v>11730</v>
      </c>
      <c r="D16" s="97" t="s">
        <v>86</v>
      </c>
      <c r="E16" s="98">
        <f>C16/690</f>
        <v>17</v>
      </c>
      <c r="H16" s="99" t="s">
        <v>87</v>
      </c>
      <c r="I16" s="2" t="s">
        <v>88</v>
      </c>
      <c r="J16" s="2">
        <v>55</v>
      </c>
      <c r="K16" s="2">
        <f>6*55</f>
        <v>330</v>
      </c>
    </row>
    <row r="17" spans="1:11" ht="16.2" thickBot="1" x14ac:dyDescent="0.35">
      <c r="B17" s="95" t="s">
        <v>89</v>
      </c>
      <c r="C17" s="96">
        <v>11000</v>
      </c>
      <c r="D17" s="97" t="s">
        <v>90</v>
      </c>
      <c r="E17" s="98">
        <f>C17/5</f>
        <v>2200</v>
      </c>
      <c r="H17" s="99" t="s">
        <v>91</v>
      </c>
      <c r="I17" s="2" t="s">
        <v>92</v>
      </c>
      <c r="J17" s="2">
        <v>20</v>
      </c>
      <c r="K17" s="2">
        <f>20*6</f>
        <v>120</v>
      </c>
    </row>
    <row r="18" spans="1:11" ht="63" thickBot="1" x14ac:dyDescent="0.35">
      <c r="B18" s="95" t="s">
        <v>93</v>
      </c>
      <c r="C18" s="96" t="s">
        <v>94</v>
      </c>
      <c r="D18" s="174" t="s">
        <v>95</v>
      </c>
      <c r="E18" s="175">
        <f>32942/91</f>
        <v>362</v>
      </c>
      <c r="H18" s="100" t="s">
        <v>96</v>
      </c>
      <c r="I18" s="101">
        <v>20</v>
      </c>
      <c r="J18" s="101">
        <v>91</v>
      </c>
      <c r="K18" s="101">
        <f>SUM(K15:K17)</f>
        <v>690</v>
      </c>
    </row>
    <row r="19" spans="1:11" ht="15.6" x14ac:dyDescent="0.3">
      <c r="B19" s="95" t="s">
        <v>97</v>
      </c>
      <c r="C19" s="96">
        <v>14742</v>
      </c>
      <c r="D19" s="174"/>
      <c r="E19" s="175"/>
    </row>
    <row r="20" spans="1:11" ht="15.6" x14ac:dyDescent="0.3">
      <c r="B20" s="95" t="s">
        <v>98</v>
      </c>
      <c r="C20" s="96" t="s">
        <v>99</v>
      </c>
      <c r="D20" s="174"/>
      <c r="E20" s="175"/>
    </row>
    <row r="21" spans="1:11" ht="15.6" x14ac:dyDescent="0.3">
      <c r="B21" s="102" t="s">
        <v>100</v>
      </c>
      <c r="C21" s="103">
        <v>32942</v>
      </c>
      <c r="D21" s="174"/>
      <c r="E21" s="175"/>
    </row>
    <row r="22" spans="1:11" ht="62.25" customHeight="1" x14ac:dyDescent="0.3">
      <c r="B22" s="95" t="s">
        <v>101</v>
      </c>
      <c r="C22" s="96">
        <v>2800</v>
      </c>
      <c r="D22" s="97" t="s">
        <v>102</v>
      </c>
      <c r="E22" s="98">
        <f>C22/7</f>
        <v>400</v>
      </c>
    </row>
    <row r="24" spans="1:11" ht="15" thickBot="1" x14ac:dyDescent="0.35">
      <c r="A24" s="81" t="s">
        <v>134</v>
      </c>
    </row>
    <row r="25" spans="1:11" ht="15.6" x14ac:dyDescent="0.3">
      <c r="B25" s="104"/>
      <c r="C25" s="176" t="s">
        <v>103</v>
      </c>
      <c r="D25" s="176"/>
      <c r="E25" s="176"/>
    </row>
    <row r="26" spans="1:11" ht="15.6" x14ac:dyDescent="0.3">
      <c r="B26" s="105"/>
      <c r="C26" s="106" t="s">
        <v>40</v>
      </c>
      <c r="D26" s="106" t="s">
        <v>41</v>
      </c>
      <c r="E26" s="106" t="s">
        <v>42</v>
      </c>
    </row>
    <row r="27" spans="1:11" ht="15.6" x14ac:dyDescent="0.3">
      <c r="B27" s="105" t="s">
        <v>104</v>
      </c>
      <c r="C27" s="88">
        <v>1800</v>
      </c>
      <c r="D27" s="107">
        <v>1.5</v>
      </c>
      <c r="E27" s="107">
        <f>C27*D27</f>
        <v>2700</v>
      </c>
    </row>
    <row r="28" spans="1:11" ht="15.6" x14ac:dyDescent="0.3">
      <c r="B28" s="105" t="s">
        <v>105</v>
      </c>
      <c r="C28" s="88">
        <v>200</v>
      </c>
      <c r="D28" s="107">
        <v>12</v>
      </c>
      <c r="E28" s="107">
        <f t="shared" ref="E28:E31" si="1">C28*D28</f>
        <v>2400</v>
      </c>
    </row>
    <row r="29" spans="1:11" ht="15.6" x14ac:dyDescent="0.3">
      <c r="B29" s="105" t="s">
        <v>106</v>
      </c>
      <c r="C29" s="88">
        <v>15</v>
      </c>
      <c r="D29" s="107">
        <v>24</v>
      </c>
      <c r="E29" s="107">
        <f t="shared" si="1"/>
        <v>360</v>
      </c>
    </row>
    <row r="30" spans="1:11" ht="15.6" x14ac:dyDescent="0.3">
      <c r="B30" s="105" t="s">
        <v>107</v>
      </c>
      <c r="C30" s="88">
        <v>15</v>
      </c>
      <c r="D30" s="107">
        <v>8</v>
      </c>
      <c r="E30" s="107">
        <f t="shared" si="1"/>
        <v>120</v>
      </c>
    </row>
    <row r="31" spans="1:11" ht="15.6" x14ac:dyDescent="0.3">
      <c r="B31" s="105" t="s">
        <v>108</v>
      </c>
      <c r="C31" s="88">
        <v>3</v>
      </c>
      <c r="D31" s="107">
        <v>22</v>
      </c>
      <c r="E31" s="107">
        <f t="shared" si="1"/>
        <v>66</v>
      </c>
    </row>
    <row r="32" spans="1:11" ht="15.6" x14ac:dyDescent="0.3">
      <c r="B32" s="108" t="s">
        <v>109</v>
      </c>
      <c r="C32" s="109">
        <v>1</v>
      </c>
      <c r="D32" s="110"/>
      <c r="E32" s="110">
        <f>SUM(E27:E31)</f>
        <v>5646</v>
      </c>
      <c r="G32" t="s">
        <v>110</v>
      </c>
    </row>
    <row r="33" spans="2:8" ht="15.6" x14ac:dyDescent="0.3">
      <c r="B33" s="111" t="s">
        <v>111</v>
      </c>
      <c r="C33" s="133">
        <f>8/16</f>
        <v>0.5</v>
      </c>
      <c r="D33" s="113">
        <f>E15</f>
        <v>2415</v>
      </c>
      <c r="E33" s="113">
        <f>C33*D33</f>
        <v>1207.5</v>
      </c>
    </row>
    <row r="34" spans="2:8" ht="15.6" x14ac:dyDescent="0.3">
      <c r="B34" s="114" t="s">
        <v>112</v>
      </c>
      <c r="C34" s="112">
        <v>15</v>
      </c>
      <c r="D34" s="113">
        <f>E16</f>
        <v>17</v>
      </c>
      <c r="E34" s="113">
        <f>C34*D34</f>
        <v>255</v>
      </c>
    </row>
    <row r="35" spans="2:8" ht="15.6" x14ac:dyDescent="0.3">
      <c r="B35" s="114" t="s">
        <v>113</v>
      </c>
      <c r="C35" s="112">
        <f>3/16</f>
        <v>0.1875</v>
      </c>
      <c r="D35" s="113">
        <f>E17</f>
        <v>2200</v>
      </c>
      <c r="E35" s="113">
        <f t="shared" ref="E35:E37" si="2">C35*D35</f>
        <v>412.5</v>
      </c>
      <c r="G35" t="s">
        <v>114</v>
      </c>
    </row>
    <row r="36" spans="2:8" ht="15.6" x14ac:dyDescent="0.3">
      <c r="B36" s="114" t="s">
        <v>115</v>
      </c>
      <c r="C36" s="112">
        <v>1</v>
      </c>
      <c r="D36" s="113">
        <f>E18</f>
        <v>362</v>
      </c>
      <c r="E36" s="113">
        <f t="shared" si="2"/>
        <v>362</v>
      </c>
    </row>
    <row r="37" spans="2:8" ht="15.6" x14ac:dyDescent="0.3">
      <c r="B37" s="115" t="s">
        <v>116</v>
      </c>
      <c r="C37" s="112">
        <f>3.6667/16</f>
        <v>0.22916875</v>
      </c>
      <c r="D37" s="113">
        <f>E22</f>
        <v>400</v>
      </c>
      <c r="E37" s="113">
        <f t="shared" si="2"/>
        <v>91.667500000000004</v>
      </c>
      <c r="G37" s="89" t="s">
        <v>167</v>
      </c>
    </row>
    <row r="38" spans="2:8" ht="15.6" x14ac:dyDescent="0.3">
      <c r="B38" s="122" t="s">
        <v>117</v>
      </c>
      <c r="C38" s="109">
        <v>1</v>
      </c>
      <c r="D38" s="109"/>
      <c r="E38" s="110">
        <f>SUM(E33:E37)</f>
        <v>2328.6675</v>
      </c>
      <c r="G38" t="s">
        <v>168</v>
      </c>
    </row>
    <row r="39" spans="2:8" ht="34.799999999999997" x14ac:dyDescent="0.35">
      <c r="B39" s="123" t="s">
        <v>118</v>
      </c>
      <c r="C39" s="124">
        <v>1</v>
      </c>
      <c r="D39" s="124"/>
      <c r="E39" s="125">
        <f>E38+E32</f>
        <v>7974.6674999999996</v>
      </c>
    </row>
    <row r="42" spans="2:8" x14ac:dyDescent="0.3">
      <c r="B42" s="116" t="s">
        <v>119</v>
      </c>
      <c r="C42" s="117" t="s">
        <v>67</v>
      </c>
      <c r="D42" s="117" t="s">
        <v>68</v>
      </c>
      <c r="E42" s="117" t="s">
        <v>69</v>
      </c>
      <c r="F42" s="118" t="s">
        <v>120</v>
      </c>
      <c r="G42" s="118" t="s">
        <v>121</v>
      </c>
      <c r="H42" s="118" t="s">
        <v>122</v>
      </c>
    </row>
    <row r="43" spans="2:8" x14ac:dyDescent="0.3">
      <c r="B43" s="116" t="s">
        <v>123</v>
      </c>
      <c r="C43" s="117" t="s">
        <v>124</v>
      </c>
      <c r="D43" s="117" t="s">
        <v>124</v>
      </c>
      <c r="E43" s="117"/>
      <c r="F43" s="87">
        <v>0.5</v>
      </c>
      <c r="G43" s="86">
        <v>0.5</v>
      </c>
      <c r="H43" s="84"/>
    </row>
    <row r="44" spans="2:8" x14ac:dyDescent="0.3">
      <c r="B44" s="116" t="s">
        <v>125</v>
      </c>
      <c r="C44" s="117" t="s">
        <v>124</v>
      </c>
      <c r="D44" s="117" t="s">
        <v>124</v>
      </c>
      <c r="E44" s="117"/>
      <c r="F44" s="87">
        <v>0.5</v>
      </c>
      <c r="G44" s="86">
        <v>0.5</v>
      </c>
      <c r="H44" s="84"/>
    </row>
    <row r="45" spans="2:8" x14ac:dyDescent="0.3">
      <c r="B45" s="116" t="s">
        <v>126</v>
      </c>
      <c r="C45" s="117" t="s">
        <v>124</v>
      </c>
      <c r="D45" s="117" t="s">
        <v>127</v>
      </c>
      <c r="E45" s="117"/>
      <c r="F45" s="87">
        <v>1</v>
      </c>
      <c r="G45" s="86">
        <v>0</v>
      </c>
      <c r="H45" s="84"/>
    </row>
    <row r="46" spans="2:8" x14ac:dyDescent="0.3">
      <c r="B46" s="116" t="s">
        <v>128</v>
      </c>
      <c r="C46" s="117" t="s">
        <v>127</v>
      </c>
      <c r="D46" s="117" t="s">
        <v>124</v>
      </c>
      <c r="E46" s="117"/>
      <c r="F46" s="87">
        <v>0</v>
      </c>
      <c r="G46" s="86">
        <v>1</v>
      </c>
      <c r="H46" s="84"/>
    </row>
    <row r="47" spans="2:8" x14ac:dyDescent="0.3">
      <c r="B47" s="116" t="s">
        <v>129</v>
      </c>
      <c r="C47" s="117" t="s">
        <v>124</v>
      </c>
      <c r="D47" s="117" t="s">
        <v>127</v>
      </c>
      <c r="E47" s="117"/>
      <c r="F47" s="87">
        <v>1</v>
      </c>
      <c r="G47" s="86">
        <v>0</v>
      </c>
      <c r="H47" s="84"/>
    </row>
    <row r="48" spans="2:8" x14ac:dyDescent="0.3">
      <c r="B48" s="119" t="s">
        <v>130</v>
      </c>
      <c r="C48" s="117" t="s">
        <v>124</v>
      </c>
      <c r="D48" s="117" t="s">
        <v>124</v>
      </c>
      <c r="E48" s="117" t="s">
        <v>124</v>
      </c>
      <c r="F48" s="120">
        <f>1/3</f>
        <v>0.33333333333333331</v>
      </c>
      <c r="G48" s="120">
        <f t="shared" ref="G48:H49" si="3">1/3</f>
        <v>0.33333333333333331</v>
      </c>
      <c r="H48" s="120">
        <f t="shared" si="3"/>
        <v>0.33333333333333331</v>
      </c>
    </row>
    <row r="49" spans="2:9" x14ac:dyDescent="0.3">
      <c r="B49" s="119" t="s">
        <v>131</v>
      </c>
      <c r="C49" s="117" t="s">
        <v>124</v>
      </c>
      <c r="D49" s="117" t="s">
        <v>124</v>
      </c>
      <c r="E49" s="117" t="s">
        <v>124</v>
      </c>
      <c r="F49" s="120">
        <f>1/3</f>
        <v>0.33333333333333331</v>
      </c>
      <c r="G49" s="120">
        <f t="shared" si="3"/>
        <v>0.33333333333333331</v>
      </c>
      <c r="H49" s="120">
        <f t="shared" si="3"/>
        <v>0.33333333333333331</v>
      </c>
    </row>
    <row r="50" spans="2:9" x14ac:dyDescent="0.3">
      <c r="B50" s="168" t="s">
        <v>35</v>
      </c>
      <c r="C50" s="169"/>
      <c r="D50" s="169"/>
      <c r="E50" s="170"/>
      <c r="F50" s="120">
        <f>SUM(F43:F49)</f>
        <v>3.666666666666667</v>
      </c>
      <c r="G50" s="120">
        <f t="shared" ref="G50:H50" si="4">SUM(G43:G49)</f>
        <v>2.666666666666667</v>
      </c>
      <c r="H50" s="121">
        <f t="shared" si="4"/>
        <v>0.66666666666666663</v>
      </c>
      <c r="I50">
        <f>+SUM(F50:H50)</f>
        <v>7.0000000000000009</v>
      </c>
    </row>
    <row r="51" spans="2:9" x14ac:dyDescent="0.3">
      <c r="F51" t="s">
        <v>132</v>
      </c>
      <c r="H51" t="s">
        <v>133</v>
      </c>
    </row>
  </sheetData>
  <mergeCells count="6">
    <mergeCell ref="B50:E50"/>
    <mergeCell ref="B8:E8"/>
    <mergeCell ref="B9:E9"/>
    <mergeCell ref="D18:D21"/>
    <mergeCell ref="E18:E21"/>
    <mergeCell ref="C25:E2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AE93-ADCE-45CE-8530-F97F64E57676}">
  <dimension ref="A3:D60"/>
  <sheetViews>
    <sheetView showGridLines="0" topLeftCell="A2" workbookViewId="0">
      <selection activeCell="G49" sqref="G49"/>
    </sheetView>
  </sheetViews>
  <sheetFormatPr baseColWidth="10" defaultRowHeight="14.4" x14ac:dyDescent="0.3"/>
  <cols>
    <col min="1" max="1" width="39.5546875" bestFit="1" customWidth="1"/>
    <col min="2" max="2" width="25" bestFit="1" customWidth="1"/>
    <col min="3" max="3" width="39.5546875" bestFit="1" customWidth="1"/>
    <col min="4" max="4" width="37.88671875" bestFit="1" customWidth="1"/>
  </cols>
  <sheetData>
    <row r="3" spans="1:4" x14ac:dyDescent="0.3">
      <c r="A3" s="126" t="s">
        <v>135</v>
      </c>
      <c r="B3" s="126" t="s">
        <v>2</v>
      </c>
      <c r="C3" s="126" t="s">
        <v>62</v>
      </c>
      <c r="D3" s="126" t="s">
        <v>136</v>
      </c>
    </row>
    <row r="4" spans="1:4" x14ac:dyDescent="0.3">
      <c r="A4" s="151" t="s">
        <v>137</v>
      </c>
      <c r="B4" s="65" t="s">
        <v>138</v>
      </c>
      <c r="C4" s="65" t="s">
        <v>139</v>
      </c>
      <c r="D4" s="66">
        <f>((20000*5)+(14000*8))/2000</f>
        <v>106</v>
      </c>
    </row>
    <row r="5" spans="1:4" x14ac:dyDescent="0.3">
      <c r="A5" s="151"/>
      <c r="B5" s="65" t="s">
        <v>64</v>
      </c>
      <c r="C5" s="65" t="s">
        <v>140</v>
      </c>
      <c r="D5" s="66">
        <v>3</v>
      </c>
    </row>
    <row r="6" spans="1:4" x14ac:dyDescent="0.3">
      <c r="A6" s="151"/>
      <c r="B6" s="65" t="s">
        <v>141</v>
      </c>
      <c r="C6" s="65" t="s">
        <v>142</v>
      </c>
      <c r="D6" s="66">
        <f>2+7</f>
        <v>9</v>
      </c>
    </row>
    <row r="7" spans="1:4" x14ac:dyDescent="0.3">
      <c r="A7" s="151"/>
      <c r="B7" s="65" t="s">
        <v>143</v>
      </c>
      <c r="C7" s="65" t="s">
        <v>144</v>
      </c>
      <c r="D7" s="66" t="s">
        <v>145</v>
      </c>
    </row>
    <row r="8" spans="1:4" x14ac:dyDescent="0.3">
      <c r="A8" s="151" t="s">
        <v>146</v>
      </c>
      <c r="B8" s="65" t="s">
        <v>147</v>
      </c>
      <c r="C8" s="65" t="s">
        <v>142</v>
      </c>
      <c r="D8" s="66">
        <f>D6</f>
        <v>9</v>
      </c>
    </row>
    <row r="9" spans="1:4" x14ac:dyDescent="0.3">
      <c r="A9" s="151"/>
      <c r="B9" s="65" t="s">
        <v>148</v>
      </c>
      <c r="C9" s="65" t="s">
        <v>142</v>
      </c>
      <c r="D9" s="66">
        <f>D8</f>
        <v>9</v>
      </c>
    </row>
    <row r="10" spans="1:4" x14ac:dyDescent="0.3">
      <c r="A10" s="151"/>
      <c r="B10" s="65" t="s">
        <v>143</v>
      </c>
      <c r="C10" s="65" t="s">
        <v>144</v>
      </c>
      <c r="D10" s="66">
        <v>27500</v>
      </c>
    </row>
    <row r="11" spans="1:4" x14ac:dyDescent="0.3">
      <c r="A11" s="151" t="s">
        <v>149</v>
      </c>
      <c r="B11" s="65" t="s">
        <v>147</v>
      </c>
      <c r="C11" s="65" t="s">
        <v>142</v>
      </c>
      <c r="D11" s="66">
        <f>D9</f>
        <v>9</v>
      </c>
    </row>
    <row r="12" spans="1:4" x14ac:dyDescent="0.3">
      <c r="A12" s="151"/>
      <c r="B12" s="65" t="s">
        <v>148</v>
      </c>
      <c r="C12" s="65" t="s">
        <v>142</v>
      </c>
      <c r="D12" s="66">
        <f>D11</f>
        <v>9</v>
      </c>
    </row>
    <row r="13" spans="1:4" x14ac:dyDescent="0.3">
      <c r="A13" s="151"/>
      <c r="B13" s="65" t="s">
        <v>143</v>
      </c>
      <c r="C13" s="65" t="s">
        <v>144</v>
      </c>
      <c r="D13" s="66">
        <f>D10</f>
        <v>27500</v>
      </c>
    </row>
    <row r="14" spans="1:4" x14ac:dyDescent="0.3">
      <c r="A14" s="177" t="s">
        <v>150</v>
      </c>
      <c r="B14" s="65" t="s">
        <v>151</v>
      </c>
      <c r="C14" s="65" t="s">
        <v>59</v>
      </c>
      <c r="D14" s="66">
        <v>34000</v>
      </c>
    </row>
    <row r="15" spans="1:4" x14ac:dyDescent="0.3">
      <c r="A15" s="177"/>
      <c r="B15" s="65" t="s">
        <v>152</v>
      </c>
      <c r="C15" s="65" t="s">
        <v>153</v>
      </c>
      <c r="D15" s="66">
        <f>((20000*145)+(14000*260))/100</f>
        <v>65400</v>
      </c>
    </row>
    <row r="16" spans="1:4" x14ac:dyDescent="0.3">
      <c r="A16" s="177"/>
      <c r="B16" s="65" t="s">
        <v>143</v>
      </c>
      <c r="C16" s="65" t="s">
        <v>144</v>
      </c>
      <c r="D16" s="66">
        <f>D13</f>
        <v>27500</v>
      </c>
    </row>
    <row r="19" spans="1:4" x14ac:dyDescent="0.3">
      <c r="A19" s="126" t="s">
        <v>62</v>
      </c>
      <c r="B19" s="126" t="s">
        <v>154</v>
      </c>
      <c r="C19" s="126" t="s">
        <v>136</v>
      </c>
      <c r="D19" s="126" t="s">
        <v>65</v>
      </c>
    </row>
    <row r="20" spans="1:4" x14ac:dyDescent="0.3">
      <c r="A20" s="66" t="s">
        <v>139</v>
      </c>
      <c r="B20" s="127">
        <v>64500</v>
      </c>
      <c r="C20" s="66">
        <f>D4</f>
        <v>106</v>
      </c>
      <c r="D20" s="128">
        <f>B20/C20</f>
        <v>608.4905660377359</v>
      </c>
    </row>
    <row r="21" spans="1:4" x14ac:dyDescent="0.3">
      <c r="A21" s="66" t="s">
        <v>140</v>
      </c>
      <c r="B21" s="127">
        <v>14780</v>
      </c>
      <c r="C21" s="66">
        <f>D5</f>
        <v>3</v>
      </c>
      <c r="D21" s="128">
        <f t="shared" ref="D21:D25" si="0">B21/C21</f>
        <v>4926.666666666667</v>
      </c>
    </row>
    <row r="22" spans="1:4" x14ac:dyDescent="0.3">
      <c r="A22" s="66" t="s">
        <v>142</v>
      </c>
      <c r="B22" s="127">
        <v>1107900</v>
      </c>
      <c r="C22" s="66">
        <f>D9</f>
        <v>9</v>
      </c>
      <c r="D22" s="128">
        <f t="shared" si="0"/>
        <v>123100</v>
      </c>
    </row>
    <row r="23" spans="1:4" x14ac:dyDescent="0.3">
      <c r="A23" s="66" t="s">
        <v>144</v>
      </c>
      <c r="B23" s="127">
        <v>82320</v>
      </c>
      <c r="C23" s="66">
        <f>D13</f>
        <v>27500</v>
      </c>
      <c r="D23" s="128">
        <f t="shared" si="0"/>
        <v>2.9934545454545454</v>
      </c>
    </row>
    <row r="24" spans="1:4" x14ac:dyDescent="0.3">
      <c r="A24" s="66" t="s">
        <v>59</v>
      </c>
      <c r="B24" s="127">
        <v>187600</v>
      </c>
      <c r="C24" s="66">
        <f>D14</f>
        <v>34000</v>
      </c>
      <c r="D24" s="128">
        <f t="shared" si="0"/>
        <v>5.5176470588235293</v>
      </c>
    </row>
    <row r="25" spans="1:4" x14ac:dyDescent="0.3">
      <c r="A25" s="66" t="s">
        <v>153</v>
      </c>
      <c r="B25" s="127">
        <v>126700</v>
      </c>
      <c r="C25" s="66">
        <f>D15</f>
        <v>65400</v>
      </c>
      <c r="D25" s="128">
        <f t="shared" si="0"/>
        <v>1.9373088685015289</v>
      </c>
    </row>
    <row r="28" spans="1:4" x14ac:dyDescent="0.3">
      <c r="A28" s="65"/>
      <c r="B28" s="66" t="s">
        <v>40</v>
      </c>
      <c r="C28" s="66" t="s">
        <v>41</v>
      </c>
      <c r="D28" s="66" t="s">
        <v>42</v>
      </c>
    </row>
    <row r="29" spans="1:4" x14ac:dyDescent="0.3">
      <c r="A29" s="65" t="s">
        <v>58</v>
      </c>
      <c r="B29" s="67">
        <v>1</v>
      </c>
      <c r="C29" s="68">
        <f>(2*2+3*2.8+4*25)</f>
        <v>112.4</v>
      </c>
      <c r="D29" s="90">
        <f>B29*C29</f>
        <v>112.4</v>
      </c>
    </row>
    <row r="30" spans="1:4" x14ac:dyDescent="0.3">
      <c r="A30" s="65" t="s">
        <v>155</v>
      </c>
      <c r="B30" s="67"/>
      <c r="C30" s="69"/>
      <c r="D30" s="69"/>
    </row>
    <row r="31" spans="1:4" x14ac:dyDescent="0.3">
      <c r="A31" s="65" t="str">
        <f>A20</f>
        <v>Nbre de commandes</v>
      </c>
      <c r="B31" s="67">
        <f>5/2000</f>
        <v>2.5000000000000001E-3</v>
      </c>
      <c r="C31" s="69">
        <f>D20</f>
        <v>608.4905660377359</v>
      </c>
      <c r="D31" s="69">
        <f>B31*C31</f>
        <v>1.5212264150943398</v>
      </c>
    </row>
    <row r="32" spans="1:4" x14ac:dyDescent="0.3">
      <c r="A32" s="65" t="str">
        <f t="shared" ref="A32:A36" si="1">A21</f>
        <v>Nbre de fournisseurs</v>
      </c>
      <c r="B32" s="67">
        <f>(0.5+0.5)/20000</f>
        <v>5.0000000000000002E-5</v>
      </c>
      <c r="C32" s="69">
        <f t="shared" ref="C32:C36" si="2">D21</f>
        <v>4926.666666666667</v>
      </c>
      <c r="D32" s="69">
        <f t="shared" ref="D32:D36" si="3">B32*C32</f>
        <v>0.24633333333333335</v>
      </c>
    </row>
    <row r="33" spans="1:4" x14ac:dyDescent="0.3">
      <c r="A33" s="65" t="str">
        <f t="shared" si="1"/>
        <v>Nbre de lots</v>
      </c>
      <c r="B33" s="67">
        <f>2/20000</f>
        <v>1E-4</v>
      </c>
      <c r="C33" s="69">
        <f t="shared" si="2"/>
        <v>123100</v>
      </c>
      <c r="D33" s="69">
        <f t="shared" si="3"/>
        <v>12.31</v>
      </c>
    </row>
    <row r="34" spans="1:4" x14ac:dyDescent="0.3">
      <c r="A34" s="65" t="str">
        <f t="shared" si="1"/>
        <v>Nbre d'heures d'utilisation des ordinateurs</v>
      </c>
      <c r="B34" s="67">
        <f>9600/20000</f>
        <v>0.48</v>
      </c>
      <c r="C34" s="69">
        <f t="shared" si="2"/>
        <v>2.9934545454545454</v>
      </c>
      <c r="D34" s="69">
        <f t="shared" si="3"/>
        <v>1.4368581818181818</v>
      </c>
    </row>
    <row r="35" spans="1:4" x14ac:dyDescent="0.3">
      <c r="A35" s="65" t="str">
        <f t="shared" si="1"/>
        <v>Nbre de produits vendus</v>
      </c>
      <c r="B35" s="67">
        <v>1</v>
      </c>
      <c r="C35" s="69">
        <f t="shared" si="2"/>
        <v>5.5176470588235293</v>
      </c>
      <c r="D35" s="69">
        <f t="shared" si="3"/>
        <v>5.5176470588235293</v>
      </c>
    </row>
    <row r="36" spans="1:4" x14ac:dyDescent="0.3">
      <c r="A36" s="65" t="str">
        <f t="shared" si="1"/>
        <v>100€ de CA</v>
      </c>
      <c r="B36" s="65">
        <f>145/100</f>
        <v>1.45</v>
      </c>
      <c r="C36" s="69">
        <f t="shared" si="2"/>
        <v>1.9373088685015289</v>
      </c>
      <c r="D36" s="69">
        <f t="shared" si="3"/>
        <v>2.8090978593272169</v>
      </c>
    </row>
    <row r="37" spans="1:4" x14ac:dyDescent="0.3">
      <c r="A37" s="65" t="s">
        <v>60</v>
      </c>
      <c r="B37" s="67">
        <v>1</v>
      </c>
      <c r="C37" s="68"/>
      <c r="D37" s="69">
        <f>SUM(D29:D36)</f>
        <v>136.24116284839661</v>
      </c>
    </row>
    <row r="40" spans="1:4" x14ac:dyDescent="0.3">
      <c r="A40" s="89" t="s">
        <v>156</v>
      </c>
    </row>
    <row r="41" spans="1:4" x14ac:dyDescent="0.3">
      <c r="A41" s="178" t="s">
        <v>163</v>
      </c>
      <c r="B41" s="178"/>
      <c r="C41" s="178"/>
      <c r="D41" s="178"/>
    </row>
    <row r="42" spans="1:4" x14ac:dyDescent="0.3">
      <c r="A42" s="84" t="s">
        <v>139</v>
      </c>
      <c r="B42" s="84" t="s">
        <v>35</v>
      </c>
      <c r="C42" s="84" t="s">
        <v>160</v>
      </c>
      <c r="D42" s="84" t="s">
        <v>161</v>
      </c>
    </row>
    <row r="43" spans="1:4" x14ac:dyDescent="0.3">
      <c r="A43" s="84" t="s">
        <v>157</v>
      </c>
      <c r="B43" s="84">
        <f>((20000*2)+(14000*5))/2000</f>
        <v>55</v>
      </c>
      <c r="C43" s="84">
        <f>2/2000</f>
        <v>1E-3</v>
      </c>
      <c r="D43" s="84">
        <f>5/2000</f>
        <v>2.5000000000000001E-3</v>
      </c>
    </row>
    <row r="44" spans="1:4" x14ac:dyDescent="0.3">
      <c r="A44" s="84" t="s">
        <v>158</v>
      </c>
      <c r="B44" s="84">
        <f>((20000*3)+(14000*1))/2000</f>
        <v>37</v>
      </c>
      <c r="C44" s="84">
        <f>3/2000</f>
        <v>1.5E-3</v>
      </c>
      <c r="D44" s="84">
        <f>1/2000</f>
        <v>5.0000000000000001E-4</v>
      </c>
    </row>
    <row r="45" spans="1:4" x14ac:dyDescent="0.3">
      <c r="A45" s="84" t="s">
        <v>159</v>
      </c>
      <c r="B45" s="84">
        <f>(14000*2)/500</f>
        <v>56</v>
      </c>
      <c r="C45" s="84">
        <v>0</v>
      </c>
      <c r="D45" s="84">
        <f>2/500</f>
        <v>4.0000000000000001E-3</v>
      </c>
    </row>
    <row r="46" spans="1:4" x14ac:dyDescent="0.3">
      <c r="A46" s="84" t="s">
        <v>35</v>
      </c>
      <c r="B46" s="84">
        <f>SUM(B43:B45)</f>
        <v>148</v>
      </c>
      <c r="C46" s="84">
        <f>SUM(C43:C45)</f>
        <v>2.5000000000000001E-3</v>
      </c>
      <c r="D46" s="84">
        <f>SUM(D43:D45)</f>
        <v>7.0000000000000001E-3</v>
      </c>
    </row>
    <row r="47" spans="1:4" x14ac:dyDescent="0.3">
      <c r="A47" s="129" t="s">
        <v>65</v>
      </c>
      <c r="B47" s="130">
        <f>64500/B46</f>
        <v>435.81081081081084</v>
      </c>
      <c r="C47" s="131">
        <f>B47*C46</f>
        <v>1.0895270270270272</v>
      </c>
      <c r="D47" s="131">
        <f>D46*B47</f>
        <v>3.0506756756756759</v>
      </c>
    </row>
    <row r="49" spans="1:4" x14ac:dyDescent="0.3">
      <c r="A49" s="167" t="s">
        <v>162</v>
      </c>
      <c r="B49" s="167"/>
      <c r="C49" s="167"/>
      <c r="D49" s="167"/>
    </row>
    <row r="50" spans="1:4" x14ac:dyDescent="0.3">
      <c r="A50" s="84" t="s">
        <v>139</v>
      </c>
      <c r="B50" s="84" t="s">
        <v>35</v>
      </c>
      <c r="C50" s="84" t="s">
        <v>160</v>
      </c>
      <c r="D50" s="84" t="s">
        <v>161</v>
      </c>
    </row>
    <row r="51" spans="1:4" x14ac:dyDescent="0.3">
      <c r="A51" s="84" t="s">
        <v>157</v>
      </c>
      <c r="B51" s="84">
        <f>((20000*2)+(14000*5))/2000</f>
        <v>55</v>
      </c>
      <c r="C51" s="84">
        <f>2/2000</f>
        <v>1E-3</v>
      </c>
      <c r="D51" s="84">
        <f>5/2000</f>
        <v>2.5000000000000001E-3</v>
      </c>
    </row>
    <row r="52" spans="1:4" x14ac:dyDescent="0.3">
      <c r="A52" s="84" t="s">
        <v>158</v>
      </c>
      <c r="B52" s="84">
        <f>((20000*3)+(14000*1))/2000</f>
        <v>37</v>
      </c>
      <c r="C52" s="84">
        <f>3/2000</f>
        <v>1.5E-3</v>
      </c>
      <c r="D52" s="84">
        <f>1/2000</f>
        <v>5.0000000000000001E-4</v>
      </c>
    </row>
    <row r="53" spans="1:4" x14ac:dyDescent="0.3">
      <c r="A53" s="84" t="s">
        <v>159</v>
      </c>
      <c r="B53" s="84">
        <f>(14000*2)/2000</f>
        <v>14</v>
      </c>
      <c r="C53" s="84">
        <v>0</v>
      </c>
      <c r="D53" s="84">
        <f>2/2000</f>
        <v>1E-3</v>
      </c>
    </row>
    <row r="54" spans="1:4" x14ac:dyDescent="0.3">
      <c r="A54" s="84" t="s">
        <v>35</v>
      </c>
      <c r="B54" s="84">
        <f>SUM(B51:B53)</f>
        <v>106</v>
      </c>
      <c r="C54" s="84">
        <f>SUM(C51:C53)</f>
        <v>2.5000000000000001E-3</v>
      </c>
      <c r="D54" s="84">
        <f>SUM(D51:D53)</f>
        <v>4.0000000000000001E-3</v>
      </c>
    </row>
    <row r="55" spans="1:4" x14ac:dyDescent="0.3">
      <c r="A55" s="92" t="s">
        <v>65</v>
      </c>
      <c r="B55" s="132">
        <f>64500/B54</f>
        <v>608.4905660377359</v>
      </c>
      <c r="C55" s="91">
        <f>C54*B55</f>
        <v>1.5212264150943398</v>
      </c>
      <c r="D55" s="91">
        <f>D54*B55</f>
        <v>2.4339622641509435</v>
      </c>
    </row>
    <row r="57" spans="1:4" x14ac:dyDescent="0.3">
      <c r="A57" t="s">
        <v>164</v>
      </c>
    </row>
    <row r="58" spans="1:4" x14ac:dyDescent="0.3">
      <c r="A58" t="s">
        <v>165</v>
      </c>
    </row>
    <row r="60" spans="1:4" x14ac:dyDescent="0.3">
      <c r="A60" t="s">
        <v>166</v>
      </c>
    </row>
  </sheetData>
  <mergeCells count="6">
    <mergeCell ref="A49:D49"/>
    <mergeCell ref="A4:A7"/>
    <mergeCell ref="A8:A10"/>
    <mergeCell ref="A11:A13"/>
    <mergeCell ref="A14:A16"/>
    <mergeCell ref="A41:D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93524-3954-4685-879E-3405DCD971A4}">
  <dimension ref="A3:J41"/>
  <sheetViews>
    <sheetView workbookViewId="0">
      <selection activeCell="F31" sqref="F31"/>
    </sheetView>
  </sheetViews>
  <sheetFormatPr baseColWidth="10" defaultRowHeight="14.4" x14ac:dyDescent="0.3"/>
  <cols>
    <col min="1" max="1" width="46.88671875" customWidth="1"/>
    <col min="2" max="2" width="28.21875" customWidth="1"/>
    <col min="3" max="3" width="23.77734375" customWidth="1"/>
    <col min="4" max="4" width="30.77734375" customWidth="1"/>
  </cols>
  <sheetData>
    <row r="3" spans="1:10" x14ac:dyDescent="0.3">
      <c r="A3" s="70" t="s">
        <v>62</v>
      </c>
      <c r="B3" s="126" t="s">
        <v>169</v>
      </c>
      <c r="C3" s="126" t="s">
        <v>170</v>
      </c>
      <c r="D3" s="126" t="s">
        <v>171</v>
      </c>
    </row>
    <row r="4" spans="1:10" x14ac:dyDescent="0.3">
      <c r="A4" s="65" t="s">
        <v>172</v>
      </c>
      <c r="B4" s="69">
        <v>149760</v>
      </c>
      <c r="C4" s="67">
        <v>9</v>
      </c>
      <c r="D4" s="69">
        <f>B4/C4</f>
        <v>16640</v>
      </c>
    </row>
    <row r="5" spans="1:10" x14ac:dyDescent="0.3">
      <c r="A5" s="65" t="s">
        <v>33</v>
      </c>
      <c r="B5" s="69">
        <v>112320</v>
      </c>
      <c r="C5" s="67">
        <v>12</v>
      </c>
      <c r="D5" s="69">
        <f t="shared" ref="D5:D13" si="0">B5/C5</f>
        <v>9360</v>
      </c>
    </row>
    <row r="6" spans="1:10" x14ac:dyDescent="0.3">
      <c r="A6" s="65" t="s">
        <v>173</v>
      </c>
      <c r="B6" s="69">
        <v>112320</v>
      </c>
      <c r="C6" s="67">
        <v>30</v>
      </c>
      <c r="D6" s="69">
        <f t="shared" si="0"/>
        <v>3744</v>
      </c>
    </row>
    <row r="7" spans="1:10" x14ac:dyDescent="0.3">
      <c r="A7" s="65" t="s">
        <v>174</v>
      </c>
      <c r="B7" s="69">
        <v>464000</v>
      </c>
      <c r="C7" s="67">
        <v>4</v>
      </c>
      <c r="D7" s="69">
        <f t="shared" si="0"/>
        <v>116000</v>
      </c>
    </row>
    <row r="8" spans="1:10" x14ac:dyDescent="0.3">
      <c r="A8" s="65" t="s">
        <v>175</v>
      </c>
      <c r="B8" s="69">
        <v>590900</v>
      </c>
      <c r="C8" s="67">
        <v>311</v>
      </c>
      <c r="D8" s="69">
        <f t="shared" si="0"/>
        <v>1900</v>
      </c>
      <c r="G8" s="8"/>
    </row>
    <row r="9" spans="1:10" x14ac:dyDescent="0.3">
      <c r="A9" s="65" t="s">
        <v>176</v>
      </c>
      <c r="B9" s="69">
        <v>153400</v>
      </c>
      <c r="C9" s="67">
        <v>900000</v>
      </c>
      <c r="D9" s="69">
        <f t="shared" si="0"/>
        <v>0.17044444444444445</v>
      </c>
    </row>
    <row r="10" spans="1:10" x14ac:dyDescent="0.3">
      <c r="A10" s="65" t="s">
        <v>177</v>
      </c>
      <c r="B10" s="69">
        <f>120000+120000+136800</f>
        <v>376800</v>
      </c>
      <c r="C10" s="67">
        <v>120000</v>
      </c>
      <c r="D10" s="145">
        <f t="shared" si="0"/>
        <v>3.14</v>
      </c>
      <c r="I10" s="8"/>
    </row>
    <row r="11" spans="1:10" x14ac:dyDescent="0.3">
      <c r="A11" s="65" t="s">
        <v>178</v>
      </c>
      <c r="B11" s="69">
        <v>120060</v>
      </c>
      <c r="C11" s="67">
        <v>46</v>
      </c>
      <c r="D11" s="145">
        <f t="shared" si="0"/>
        <v>2610</v>
      </c>
      <c r="G11" s="8"/>
    </row>
    <row r="12" spans="1:10" x14ac:dyDescent="0.3">
      <c r="A12" s="65" t="s">
        <v>179</v>
      </c>
      <c r="B12" s="69">
        <v>84800</v>
      </c>
      <c r="C12" s="67">
        <v>265</v>
      </c>
      <c r="D12" s="69">
        <f t="shared" si="0"/>
        <v>320</v>
      </c>
    </row>
    <row r="13" spans="1:10" x14ac:dyDescent="0.3">
      <c r="A13" s="65" t="s">
        <v>180</v>
      </c>
      <c r="B13" s="69">
        <v>153600</v>
      </c>
      <c r="C13" s="85">
        <f>1.6*600000+300000*2.6+11*100000+20000*50</f>
        <v>3840000</v>
      </c>
      <c r="D13" s="150">
        <f t="shared" si="0"/>
        <v>0.04</v>
      </c>
      <c r="G13" s="8"/>
    </row>
    <row r="14" spans="1:10" x14ac:dyDescent="0.3">
      <c r="H14" t="s">
        <v>186</v>
      </c>
      <c r="I14" t="s">
        <v>187</v>
      </c>
      <c r="J14" t="s">
        <v>188</v>
      </c>
    </row>
    <row r="15" spans="1:10" ht="15" thickBot="1" x14ac:dyDescent="0.35"/>
    <row r="16" spans="1:10" ht="15" thickBot="1" x14ac:dyDescent="0.35">
      <c r="A16" s="134"/>
      <c r="B16" s="136" t="s">
        <v>181</v>
      </c>
      <c r="C16" s="136" t="s">
        <v>41</v>
      </c>
      <c r="D16" s="136" t="s">
        <v>7</v>
      </c>
      <c r="H16">
        <v>0.25</v>
      </c>
      <c r="I16">
        <f>2/4</f>
        <v>0.5</v>
      </c>
      <c r="J16">
        <f>9/4</f>
        <v>2.25</v>
      </c>
    </row>
    <row r="17" spans="1:10" ht="15" thickBot="1" x14ac:dyDescent="0.35">
      <c r="A17" s="135" t="s">
        <v>182</v>
      </c>
      <c r="B17" s="137">
        <v>1</v>
      </c>
      <c r="C17" s="143">
        <v>0.6</v>
      </c>
      <c r="D17" s="138">
        <f>B17*C17</f>
        <v>0.6</v>
      </c>
      <c r="H17">
        <v>0.25</v>
      </c>
      <c r="I17">
        <f>2/4</f>
        <v>0.5</v>
      </c>
      <c r="J17">
        <f>4/4</f>
        <v>1</v>
      </c>
    </row>
    <row r="18" spans="1:10" ht="15" thickBot="1" x14ac:dyDescent="0.35">
      <c r="A18" s="135" t="s">
        <v>183</v>
      </c>
      <c r="B18" s="137">
        <v>1</v>
      </c>
      <c r="C18" s="143">
        <v>1.2</v>
      </c>
      <c r="D18" s="138">
        <f t="shared" ref="D18:D29" si="1">B18*C18</f>
        <v>1.2</v>
      </c>
      <c r="H18">
        <v>0.25</v>
      </c>
      <c r="I18">
        <f>2/4</f>
        <v>0.5</v>
      </c>
      <c r="J18">
        <f>3/4</f>
        <v>0.75</v>
      </c>
    </row>
    <row r="19" spans="1:10" ht="15" thickBot="1" x14ac:dyDescent="0.35">
      <c r="A19" s="135" t="s">
        <v>184</v>
      </c>
      <c r="B19" s="142">
        <f>18/60</f>
        <v>0.3</v>
      </c>
      <c r="C19" s="143">
        <v>30</v>
      </c>
      <c r="D19" s="138">
        <f t="shared" si="1"/>
        <v>9</v>
      </c>
      <c r="H19">
        <v>1</v>
      </c>
      <c r="I19">
        <v>1</v>
      </c>
      <c r="J19">
        <v>5</v>
      </c>
    </row>
    <row r="20" spans="1:10" ht="15" thickBot="1" x14ac:dyDescent="0.35">
      <c r="A20" s="135" t="s">
        <v>172</v>
      </c>
      <c r="B20" s="137">
        <v>1.6249999999999999E-4</v>
      </c>
      <c r="C20" s="143">
        <f t="shared" ref="C20:C27" si="2">D4</f>
        <v>16640</v>
      </c>
      <c r="D20" s="138">
        <f t="shared" si="1"/>
        <v>2.7039999999999997</v>
      </c>
      <c r="H20">
        <v>1</v>
      </c>
      <c r="I20">
        <v>1</v>
      </c>
      <c r="J20">
        <v>2</v>
      </c>
    </row>
    <row r="21" spans="1:10" ht="15" thickBot="1" x14ac:dyDescent="0.35">
      <c r="A21" s="135" t="s">
        <v>33</v>
      </c>
      <c r="B21" s="137">
        <f>I24</f>
        <v>2.0000000000000001E-4</v>
      </c>
      <c r="C21" s="143">
        <f t="shared" si="2"/>
        <v>9360</v>
      </c>
      <c r="D21" s="138">
        <f t="shared" si="1"/>
        <v>1.8720000000000001</v>
      </c>
      <c r="H21">
        <v>0.5</v>
      </c>
      <c r="I21">
        <f>1/2</f>
        <v>0.5</v>
      </c>
      <c r="J21">
        <f>3/2</f>
        <v>1.5</v>
      </c>
    </row>
    <row r="22" spans="1:10" ht="15" thickBot="1" x14ac:dyDescent="0.35">
      <c r="A22" s="135" t="s">
        <v>173</v>
      </c>
      <c r="B22" s="137">
        <f>J24</f>
        <v>6.2500000000000001E-4</v>
      </c>
      <c r="C22" s="143">
        <f t="shared" si="2"/>
        <v>3744</v>
      </c>
      <c r="D22" s="138">
        <f t="shared" si="1"/>
        <v>2.34</v>
      </c>
      <c r="H22">
        <f>SUM(H16:H21)</f>
        <v>3.25</v>
      </c>
      <c r="I22">
        <f>SUM(I16:I21)</f>
        <v>4</v>
      </c>
      <c r="J22">
        <f>SUM(J16:J21)</f>
        <v>12.5</v>
      </c>
    </row>
    <row r="23" spans="1:10" ht="15" thickBot="1" x14ac:dyDescent="0.35">
      <c r="A23" s="135" t="s">
        <v>174</v>
      </c>
      <c r="B23" s="137">
        <f>1/20000</f>
        <v>5.0000000000000002E-5</v>
      </c>
      <c r="C23" s="143">
        <f t="shared" si="2"/>
        <v>116000</v>
      </c>
      <c r="D23" s="138">
        <f t="shared" si="1"/>
        <v>5.8000000000000007</v>
      </c>
    </row>
    <row r="24" spans="1:10" ht="15" thickBot="1" x14ac:dyDescent="0.35">
      <c r="A24" s="135" t="s">
        <v>175</v>
      </c>
      <c r="B24" s="137">
        <f>(10+30+50+100)/20000</f>
        <v>9.4999999999999998E-3</v>
      </c>
      <c r="C24" s="143">
        <f t="shared" si="2"/>
        <v>1900</v>
      </c>
      <c r="D24" s="138">
        <f t="shared" si="1"/>
        <v>18.05</v>
      </c>
      <c r="H24">
        <f>H22/20000</f>
        <v>1.6249999999999999E-4</v>
      </c>
      <c r="I24">
        <f>I22/20000</f>
        <v>2.0000000000000001E-4</v>
      </c>
      <c r="J24">
        <f>J22/20000</f>
        <v>6.2500000000000001E-4</v>
      </c>
    </row>
    <row r="25" spans="1:10" ht="15" thickBot="1" x14ac:dyDescent="0.35">
      <c r="A25" s="135" t="s">
        <v>176</v>
      </c>
      <c r="B25" s="137">
        <v>0</v>
      </c>
      <c r="C25" s="143">
        <f t="shared" si="2"/>
        <v>0.17044444444444445</v>
      </c>
      <c r="D25" s="138">
        <f t="shared" si="1"/>
        <v>0</v>
      </c>
    </row>
    <row r="26" spans="1:10" ht="15" thickBot="1" x14ac:dyDescent="0.35">
      <c r="A26" s="135" t="s">
        <v>177</v>
      </c>
      <c r="B26" s="137">
        <v>1</v>
      </c>
      <c r="C26" s="143">
        <f t="shared" si="2"/>
        <v>3.14</v>
      </c>
      <c r="D26" s="138">
        <f t="shared" si="1"/>
        <v>3.14</v>
      </c>
    </row>
    <row r="27" spans="1:10" ht="15" thickBot="1" x14ac:dyDescent="0.35">
      <c r="A27" s="135" t="s">
        <v>178</v>
      </c>
      <c r="B27" s="137">
        <f>0</f>
        <v>0</v>
      </c>
      <c r="C27" s="143">
        <f t="shared" si="2"/>
        <v>2610</v>
      </c>
      <c r="D27" s="138">
        <f t="shared" si="1"/>
        <v>0</v>
      </c>
    </row>
    <row r="28" spans="1:10" ht="15" thickBot="1" x14ac:dyDescent="0.35">
      <c r="A28" s="135" t="s">
        <v>179</v>
      </c>
      <c r="B28" s="137">
        <f>(10+30+50+100)/20000</f>
        <v>9.4999999999999998E-3</v>
      </c>
      <c r="C28" s="143">
        <f t="shared" ref="C28:C29" si="3">D12</f>
        <v>320</v>
      </c>
      <c r="D28" s="138">
        <f t="shared" si="1"/>
        <v>3.04</v>
      </c>
    </row>
    <row r="29" spans="1:10" ht="15" thickBot="1" x14ac:dyDescent="0.35">
      <c r="A29" s="135" t="s">
        <v>180</v>
      </c>
      <c r="B29" s="137">
        <v>50</v>
      </c>
      <c r="C29" s="143">
        <f t="shared" si="3"/>
        <v>0.04</v>
      </c>
      <c r="D29" s="138">
        <f t="shared" si="1"/>
        <v>2</v>
      </c>
    </row>
    <row r="30" spans="1:10" ht="15" thickBot="1" x14ac:dyDescent="0.35">
      <c r="A30" s="140" t="s">
        <v>185</v>
      </c>
      <c r="B30" s="141">
        <v>1</v>
      </c>
      <c r="C30" s="139"/>
      <c r="D30" s="144">
        <f>SUM(D17:D29)</f>
        <v>49.746000000000002</v>
      </c>
    </row>
    <row r="31" spans="1:10" x14ac:dyDescent="0.3">
      <c r="J31" t="s">
        <v>188</v>
      </c>
    </row>
    <row r="33" spans="1:10" x14ac:dyDescent="0.3">
      <c r="J33">
        <v>0.5</v>
      </c>
    </row>
    <row r="34" spans="1:10" x14ac:dyDescent="0.3">
      <c r="A34" s="65" t="s">
        <v>173</v>
      </c>
      <c r="B34" s="69">
        <v>112320</v>
      </c>
      <c r="C34" s="67">
        <f>2*3+6*1</f>
        <v>12</v>
      </c>
      <c r="D34" s="69">
        <f t="shared" ref="D34" si="4">B34/C34</f>
        <v>9360</v>
      </c>
      <c r="J34">
        <v>0.5</v>
      </c>
    </row>
    <row r="35" spans="1:10" x14ac:dyDescent="0.3">
      <c r="J35">
        <v>0.5</v>
      </c>
    </row>
    <row r="36" spans="1:10" x14ac:dyDescent="0.3">
      <c r="A36" s="146" t="s">
        <v>173</v>
      </c>
      <c r="B36" s="147">
        <f>J41</f>
        <v>2.0000000000000001E-4</v>
      </c>
      <c r="C36" s="148">
        <f>D34</f>
        <v>9360</v>
      </c>
      <c r="D36" s="149">
        <f t="shared" ref="D36" si="5">B36*C36</f>
        <v>1.8720000000000001</v>
      </c>
      <c r="J36">
        <v>1</v>
      </c>
    </row>
    <row r="37" spans="1:10" x14ac:dyDescent="0.3">
      <c r="J37">
        <v>1</v>
      </c>
    </row>
    <row r="38" spans="1:10" x14ac:dyDescent="0.3">
      <c r="A38" t="s">
        <v>189</v>
      </c>
      <c r="J38">
        <v>0.5</v>
      </c>
    </row>
    <row r="39" spans="1:10" x14ac:dyDescent="0.3">
      <c r="J39">
        <f>SUM(J33:J38)</f>
        <v>4</v>
      </c>
    </row>
    <row r="41" spans="1:10" x14ac:dyDescent="0.3">
      <c r="J41">
        <f>J39/20000</f>
        <v>2.0000000000000001E-4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FD621-713A-45D0-854B-1BA43414A323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1b6f2b70-d5a1-4544-a145-5b4293f1365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888785-7D34-4431-9836-CEC54CFD4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343566-1B92-4B0D-9C49-671A8081D9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Exercice 1</vt:lpstr>
      <vt:lpstr>Exercice 2</vt:lpstr>
      <vt:lpstr>Exercice 3</vt:lpstr>
      <vt:lpstr>Exercice 4</vt:lpstr>
      <vt:lpstr>Exercice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Noel</cp:lastModifiedBy>
  <dcterms:created xsi:type="dcterms:W3CDTF">2018-06-08T06:24:04Z</dcterms:created>
  <dcterms:modified xsi:type="dcterms:W3CDTF">2024-08-06T08:42:39Z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e5f01b5f-9e63-41a3-871a-6cb2f979cff3</vt:lpwstr>
  </property>
  <property fmtid="{D5CDD505-2E9C-101B-9397-08002B2CF9AE}" pid="3" name="ContentTypeId">
    <vt:lpwstr>0x01010021529F2146C75048A695AB3F03D98EF9</vt:lpwstr>
  </property>
</Properties>
</file>