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IUT BRETIGNY GEA/BUT/Cours BUT2/GEMA/R3 GEMA12 - Financement des activités/R3 GEMA12 Chapitre 3/"/>
    </mc:Choice>
  </mc:AlternateContent>
  <xr:revisionPtr revIDLastSave="3" documentId="8_{7490D26E-1CF4-43FA-A556-0A1F57C1D720}" xr6:coauthVersionLast="36" xr6:coauthVersionMax="36" xr10:uidLastSave="{4EA30284-DBD6-43A4-906B-FE4E0C9F568F}"/>
  <bookViews>
    <workbookView xWindow="0" yWindow="0" windowWidth="28800" windowHeight="11925" activeTab="4" xr2:uid="{7E49E29B-AA61-4482-88BE-FCF0AFEF7F47}"/>
  </bookViews>
  <sheets>
    <sheet name="Exercice 1" sheetId="1" r:id="rId1"/>
    <sheet name="Exercice 2" sheetId="2" r:id="rId2"/>
    <sheet name="Exercice 3" sheetId="3" r:id="rId3"/>
    <sheet name="Exercice 4" sheetId="4" r:id="rId4"/>
    <sheet name="Exercice 5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5" l="1"/>
  <c r="E52" i="5"/>
  <c r="D52" i="5"/>
  <c r="C52" i="5"/>
  <c r="B52" i="5"/>
  <c r="B46" i="5"/>
  <c r="B49" i="5" s="1"/>
  <c r="B53" i="5" s="1"/>
  <c r="B54" i="5" s="1"/>
  <c r="D37" i="5"/>
  <c r="C37" i="5"/>
  <c r="B37" i="5"/>
  <c r="B38" i="5" s="1"/>
  <c r="B27" i="5"/>
  <c r="E21" i="5"/>
  <c r="B20" i="5"/>
  <c r="B23" i="5" s="1"/>
  <c r="B9" i="5"/>
  <c r="K11" i="5"/>
  <c r="K12" i="5" s="1"/>
  <c r="H11" i="5"/>
  <c r="E21" i="4"/>
  <c r="D33" i="4"/>
  <c r="C33" i="4"/>
  <c r="A33" i="4"/>
  <c r="E32" i="4"/>
  <c r="D32" i="4"/>
  <c r="D34" i="4" s="1"/>
  <c r="D35" i="4" s="1"/>
  <c r="C32" i="4"/>
  <c r="C34" i="4" s="1"/>
  <c r="C35" i="4" s="1"/>
  <c r="B32" i="4"/>
  <c r="E29" i="4"/>
  <c r="E33" i="4" s="1"/>
  <c r="D29" i="4"/>
  <c r="C29" i="4"/>
  <c r="B29" i="4"/>
  <c r="B33" i="4" s="1"/>
  <c r="A20" i="4"/>
  <c r="E15" i="4"/>
  <c r="D15" i="4"/>
  <c r="C15" i="4"/>
  <c r="B15" i="4"/>
  <c r="D7" i="4"/>
  <c r="B14" i="4" s="1"/>
  <c r="B16" i="4" s="1"/>
  <c r="B20" i="4" s="1"/>
  <c r="C7" i="4"/>
  <c r="B19" i="4" s="1"/>
  <c r="B7" i="4"/>
  <c r="B28" i="5" l="1"/>
  <c r="B29" i="5" s="1"/>
  <c r="B39" i="5"/>
  <c r="B40" i="5" s="1"/>
  <c r="C45" i="5" s="1"/>
  <c r="C49" i="5" s="1"/>
  <c r="C53" i="5" s="1"/>
  <c r="C54" i="5" s="1"/>
  <c r="K13" i="5"/>
  <c r="I11" i="5"/>
  <c r="B10" i="5" s="1"/>
  <c r="B11" i="5" s="1"/>
  <c r="C9" i="5"/>
  <c r="D38" i="5"/>
  <c r="D39" i="5" s="1"/>
  <c r="D40" i="5" s="1"/>
  <c r="E45" i="5" s="1"/>
  <c r="E49" i="5" s="1"/>
  <c r="E53" i="5" s="1"/>
  <c r="E54" i="5" s="1"/>
  <c r="C38" i="5"/>
  <c r="C39" i="5" s="1"/>
  <c r="C40" i="5" s="1"/>
  <c r="D45" i="5" s="1"/>
  <c r="D49" i="5" s="1"/>
  <c r="D53" i="5" s="1"/>
  <c r="D54" i="5" s="1"/>
  <c r="B22" i="4"/>
  <c r="C19" i="4"/>
  <c r="B34" i="4"/>
  <c r="E34" i="4"/>
  <c r="E35" i="4" s="1"/>
  <c r="E7" i="4"/>
  <c r="B8" i="4" s="1"/>
  <c r="C8" i="4"/>
  <c r="J11" i="5" l="1"/>
  <c r="C26" i="5" s="1"/>
  <c r="C27" i="5" s="1"/>
  <c r="B12" i="5"/>
  <c r="B13" i="5" s="1"/>
  <c r="B14" i="5" s="1"/>
  <c r="C19" i="5" s="1"/>
  <c r="C23" i="5" s="1"/>
  <c r="C28" i="5" s="1"/>
  <c r="C29" i="5" s="1"/>
  <c r="D9" i="5"/>
  <c r="H12" i="5"/>
  <c r="B35" i="4"/>
  <c r="F35" i="4" s="1"/>
  <c r="F34" i="4"/>
  <c r="B23" i="4"/>
  <c r="D19" i="4"/>
  <c r="C9" i="4"/>
  <c r="D8" i="4"/>
  <c r="C14" i="4" s="1"/>
  <c r="C16" i="4" s="1"/>
  <c r="C20" i="4" s="1"/>
  <c r="C22" i="4" s="1"/>
  <c r="I12" i="5" l="1"/>
  <c r="C23" i="4"/>
  <c r="E8" i="4"/>
  <c r="B9" i="4" s="1"/>
  <c r="C10" i="4"/>
  <c r="E19" i="4"/>
  <c r="C10" i="5" l="1"/>
  <c r="C11" i="5" s="1"/>
  <c r="J12" i="5"/>
  <c r="D9" i="4"/>
  <c r="C12" i="5" l="1"/>
  <c r="C13" i="5" s="1"/>
  <c r="C14" i="5" s="1"/>
  <c r="D19" i="5" s="1"/>
  <c r="D23" i="5" s="1"/>
  <c r="D26" i="5"/>
  <c r="D27" i="5" s="1"/>
  <c r="H13" i="5"/>
  <c r="I13" i="5" s="1"/>
  <c r="D14" i="4"/>
  <c r="D16" i="4" s="1"/>
  <c r="D20" i="4" s="1"/>
  <c r="D22" i="4" s="1"/>
  <c r="E9" i="4"/>
  <c r="B10" i="4" s="1"/>
  <c r="D10" i="4" s="1"/>
  <c r="D28" i="5" l="1"/>
  <c r="D29" i="5" s="1"/>
  <c r="D10" i="5"/>
  <c r="D11" i="5" s="1"/>
  <c r="J13" i="5"/>
  <c r="E26" i="5" s="1"/>
  <c r="E27" i="5" s="1"/>
  <c r="E14" i="4"/>
  <c r="E16" i="4" s="1"/>
  <c r="E20" i="4" s="1"/>
  <c r="E22" i="4" s="1"/>
  <c r="E23" i="4" s="1"/>
  <c r="E10" i="4"/>
  <c r="D23" i="4"/>
  <c r="D12" i="5" l="1"/>
  <c r="D13" i="5" s="1"/>
  <c r="D14" i="5" s="1"/>
  <c r="E19" i="5" s="1"/>
  <c r="E23" i="5" s="1"/>
  <c r="E28" i="5" s="1"/>
  <c r="E29" i="5" s="1"/>
  <c r="B30" i="5" s="1"/>
  <c r="F22" i="4"/>
  <c r="F23" i="4"/>
  <c r="C27" i="3" l="1"/>
  <c r="C26" i="3"/>
  <c r="C18" i="3"/>
  <c r="C19" i="3"/>
  <c r="C20" i="3"/>
  <c r="C21" i="3"/>
  <c r="C17" i="3"/>
  <c r="B18" i="3"/>
  <c r="B19" i="3"/>
  <c r="B20" i="3"/>
  <c r="B21" i="3"/>
  <c r="B17" i="3"/>
  <c r="C7" i="3"/>
  <c r="E8" i="3"/>
  <c r="E9" i="3"/>
  <c r="E10" i="3"/>
  <c r="E11" i="3"/>
  <c r="E7" i="3"/>
  <c r="D7" i="3" s="1"/>
  <c r="B8" i="3" s="1"/>
  <c r="C4" i="3"/>
  <c r="C8" i="3" l="1"/>
  <c r="D8" i="3" s="1"/>
  <c r="B9" i="3" s="1"/>
  <c r="C9" i="3" l="1"/>
  <c r="D9" i="3" s="1"/>
  <c r="B10" i="3"/>
  <c r="C10" i="3" s="1"/>
  <c r="D10" i="3" s="1"/>
  <c r="B11" i="3" s="1"/>
  <c r="C11" i="3" s="1"/>
  <c r="D11" i="3" s="1"/>
  <c r="B31" i="2" l="1"/>
  <c r="B12" i="2"/>
  <c r="B10" i="2"/>
  <c r="B6" i="2"/>
  <c r="B6" i="1"/>
</calcChain>
</file>

<file path=xl/sharedStrings.xml><?xml version="1.0" encoding="utf-8"?>
<sst xmlns="http://schemas.openxmlformats.org/spreadsheetml/2006/main" count="142" uniqueCount="86">
  <si>
    <t>N</t>
  </si>
  <si>
    <t>Charges</t>
  </si>
  <si>
    <t>TOTAL</t>
  </si>
  <si>
    <t>CAF</t>
  </si>
  <si>
    <t xml:space="preserve"> </t>
  </si>
  <si>
    <t>Dividendes</t>
  </si>
  <si>
    <t>Autofinancement disponible :</t>
  </si>
  <si>
    <t>1 - Montant de l'autofinancement disponible ?</t>
  </si>
  <si>
    <t>2 - Projet financer intégralement par l'autofinancement ?</t>
  </si>
  <si>
    <t>Oui car 1 300 000  &gt;   1 156 000  (montant de l'investissement)</t>
  </si>
  <si>
    <t>3 - Avantages et inconvénients</t>
  </si>
  <si>
    <t>Voir tableau du cours</t>
  </si>
  <si>
    <t>1- Nombre d'actions émises ?</t>
  </si>
  <si>
    <t>Montant brut de l'augmentation</t>
  </si>
  <si>
    <t>Valeur nominale de l'action</t>
  </si>
  <si>
    <t>Nombre d'actions émises</t>
  </si>
  <si>
    <t>2- Montant de l'augmentation de capital</t>
  </si>
  <si>
    <t xml:space="preserve">Prix d'émission </t>
  </si>
  <si>
    <t>Montant de l'augmentation</t>
  </si>
  <si>
    <t>3 - Pourquoi le prix d'émission est supérieur à la valeur nominale</t>
  </si>
  <si>
    <t>Le prix d'émission est déterminé en fonction de la valeur d'une action de l'entreprise à la date de l'augmentation de capital.</t>
  </si>
  <si>
    <t>Si le prix d'émissipon est supérieur à la valeur nominale, il est envisageable de penser que la valeur d'une ancienne action</t>
  </si>
  <si>
    <t>de l'entreprise était supérieure à 200€.</t>
  </si>
  <si>
    <t>4 - Financement uniquement avec l'augmentation de capital ?</t>
  </si>
  <si>
    <t>5- Possibilité pour Artic ?</t>
  </si>
  <si>
    <t>Compléter avec l'autofinancement</t>
  </si>
  <si>
    <t>Non car  42 000 000  &lt;  45 000 000, il manque 3 000 000€</t>
  </si>
  <si>
    <t>Années</t>
  </si>
  <si>
    <t>Montant de capital restant du</t>
  </si>
  <si>
    <t>Intérêts</t>
  </si>
  <si>
    <t>Montant du capital remboursé</t>
  </si>
  <si>
    <t>Annuité (Intérêt + Montant du capital remboursé)</t>
  </si>
  <si>
    <t>N+1</t>
  </si>
  <si>
    <t>N+2</t>
  </si>
  <si>
    <t xml:space="preserve">Annuité constante  (2 000 000  *  (0,045)/ (1-(1,045)^-5)) -&gt; </t>
  </si>
  <si>
    <t>N+3</t>
  </si>
  <si>
    <t>N+4</t>
  </si>
  <si>
    <t>Question 1</t>
  </si>
  <si>
    <t>Question 2</t>
  </si>
  <si>
    <t>Eco IS sur les intérêts</t>
  </si>
  <si>
    <t>Annuités nettes IS</t>
  </si>
  <si>
    <t>Question 3</t>
  </si>
  <si>
    <t>Somme des intérêts nets d'IS</t>
  </si>
  <si>
    <t>Somme des annuités nettes d'IS - Capital emprunté</t>
  </si>
  <si>
    <t xml:space="preserve">Taux réel de l'emprint  :   4,5%  -  (25% * 4,5%)  =&gt;  </t>
  </si>
  <si>
    <t>Coût du financement par emprunt</t>
  </si>
  <si>
    <t>Emprunt</t>
  </si>
  <si>
    <t>Taux</t>
  </si>
  <si>
    <t>Durée</t>
  </si>
  <si>
    <t>Capital du</t>
  </si>
  <si>
    <t>Annuité</t>
  </si>
  <si>
    <t>Remboursement du capital</t>
  </si>
  <si>
    <t>Amortissement</t>
  </si>
  <si>
    <t>Economie IS</t>
  </si>
  <si>
    <t>Cession nette d'IS</t>
  </si>
  <si>
    <t>Coût réel du matériel sans actualisation</t>
  </si>
  <si>
    <t>Coût sans actualisation</t>
  </si>
  <si>
    <t>Coût réel du matériel avec actualisation</t>
  </si>
  <si>
    <t>Coût avec actualisation</t>
  </si>
  <si>
    <t>Coût du financement par Crédit Bail</t>
  </si>
  <si>
    <t>Loyer</t>
  </si>
  <si>
    <t>Loyers</t>
  </si>
  <si>
    <t>La solution du crédit bail est la moins onéreuse (en tenant compte de l'actualisation)</t>
  </si>
  <si>
    <t>Cession</t>
  </si>
  <si>
    <t>Investissement</t>
  </si>
  <si>
    <t>3 ans</t>
  </si>
  <si>
    <t>Durée 5 ans</t>
  </si>
  <si>
    <t>Montant du capital remboursé (Annuité – Intérêt)</t>
  </si>
  <si>
    <t>CA</t>
  </si>
  <si>
    <t>Résultat avant IS</t>
  </si>
  <si>
    <t>IS 25%</t>
  </si>
  <si>
    <t>Résultat après IS</t>
  </si>
  <si>
    <t>BFR</t>
  </si>
  <si>
    <t>Encaissement</t>
  </si>
  <si>
    <t>Cession net IS</t>
  </si>
  <si>
    <t>Récupération BFR</t>
  </si>
  <si>
    <t>Annuité (hors intérets)</t>
  </si>
  <si>
    <t>Décaissement</t>
  </si>
  <si>
    <t>Flux nets</t>
  </si>
  <si>
    <t>Flux nets actualisés (10%)</t>
  </si>
  <si>
    <t>VAN</t>
  </si>
  <si>
    <t>Récupération dépôt</t>
  </si>
  <si>
    <t>Dépôt de garantie</t>
  </si>
  <si>
    <t>Montant</t>
  </si>
  <si>
    <t>Acquisition et financement par emprunt</t>
  </si>
  <si>
    <t>Location et financement par crédit bail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</si>
</sst>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5" formatCode="_-* #,##0\ &quot;€&quot;_-;\-* #,##0\ &quot;€&quot;_-;_-* &quot;-&quot;??\ &quot;€&quot;_-;_-@_-"/>
    <numFmt numFmtId="167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7E6E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44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0" xfId="0" applyNumberFormat="1"/>
    <xf numFmtId="0" fontId="2" fillId="0" borderId="0" xfId="0" quotePrefix="1" applyFont="1"/>
    <xf numFmtId="0" fontId="2" fillId="2" borderId="0" xfId="0" applyFont="1" applyFill="1"/>
    <xf numFmtId="165" fontId="2" fillId="2" borderId="0" xfId="1" applyNumberFormat="1" applyFont="1" applyFill="1"/>
    <xf numFmtId="0" fontId="0" fillId="2" borderId="0" xfId="0" applyFill="1"/>
    <xf numFmtId="3" fontId="2" fillId="2" borderId="0" xfId="0" applyNumberFormat="1" applyFont="1" applyFill="1"/>
    <xf numFmtId="0" fontId="2" fillId="0" borderId="1" xfId="0" applyFont="1" applyBorder="1" applyAlignment="1">
      <alignment horizontal="center"/>
    </xf>
    <xf numFmtId="8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4" fontId="3" fillId="0" borderId="1" xfId="1" applyFont="1" applyFill="1" applyBorder="1" applyAlignment="1">
      <alignment vertical="center"/>
    </xf>
    <xf numFmtId="8" fontId="3" fillId="0" borderId="1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44" fontId="0" fillId="2" borderId="0" xfId="0" applyNumberFormat="1" applyFill="1"/>
    <xf numFmtId="8" fontId="0" fillId="2" borderId="0" xfId="0" applyNumberFormat="1" applyFill="1"/>
    <xf numFmtId="167" fontId="0" fillId="2" borderId="0" xfId="0" applyNumberFormat="1" applyFill="1"/>
    <xf numFmtId="0" fontId="0" fillId="3" borderId="1" xfId="0" applyFill="1" applyBorder="1"/>
    <xf numFmtId="44" fontId="1" fillId="3" borderId="1" xfId="1" applyFont="1" applyFill="1" applyBorder="1"/>
    <xf numFmtId="10" fontId="0" fillId="3" borderId="1" xfId="0" applyNumberFormat="1" applyFill="1" applyBorder="1"/>
    <xf numFmtId="0" fontId="0" fillId="4" borderId="1" xfId="0" applyFill="1" applyBorder="1" applyAlignment="1">
      <alignment horizontal="center" wrapText="1"/>
    </xf>
    <xf numFmtId="0" fontId="0" fillId="4" borderId="1" xfId="0" applyFill="1" applyBorder="1"/>
    <xf numFmtId="44" fontId="1" fillId="4" borderId="1" xfId="1" applyFont="1" applyFill="1" applyBorder="1"/>
    <xf numFmtId="8" fontId="0" fillId="4" borderId="1" xfId="0" applyNumberFormat="1" applyFill="1" applyBorder="1"/>
    <xf numFmtId="0" fontId="0" fillId="0" borderId="1" xfId="0" applyFill="1" applyBorder="1" applyAlignment="1">
      <alignment horizontal="center"/>
    </xf>
    <xf numFmtId="44" fontId="0" fillId="0" borderId="1" xfId="1" applyFont="1" applyBorder="1"/>
    <xf numFmtId="44" fontId="0" fillId="0" borderId="1" xfId="0" applyNumberFormat="1" applyBorder="1"/>
    <xf numFmtId="8" fontId="0" fillId="0" borderId="1" xfId="1" applyNumberFormat="1" applyFont="1" applyBorder="1"/>
    <xf numFmtId="0" fontId="0" fillId="0" borderId="1" xfId="0" quotePrefix="1" applyBorder="1"/>
    <xf numFmtId="0" fontId="0" fillId="0" borderId="0" xfId="0" applyBorder="1"/>
    <xf numFmtId="44" fontId="0" fillId="0" borderId="0" xfId="0" applyNumberFormat="1" applyBorder="1"/>
    <xf numFmtId="0" fontId="2" fillId="0" borderId="0" xfId="0" applyFont="1" applyFill="1" applyBorder="1"/>
    <xf numFmtId="0" fontId="0" fillId="0" borderId="1" xfId="0" applyFill="1" applyBorder="1"/>
    <xf numFmtId="44" fontId="0" fillId="0" borderId="1" xfId="1" applyFont="1" applyFill="1" applyBorder="1"/>
    <xf numFmtId="0" fontId="2" fillId="2" borderId="1" xfId="0" applyFont="1" applyFill="1" applyBorder="1"/>
    <xf numFmtId="44" fontId="2" fillId="2" borderId="1" xfId="1" applyFont="1" applyFill="1" applyBorder="1"/>
    <xf numFmtId="44" fontId="2" fillId="2" borderId="0" xfId="0" applyNumberFormat="1" applyFont="1" applyFill="1"/>
    <xf numFmtId="44" fontId="2" fillId="2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44" fontId="3" fillId="0" borderId="1" xfId="1" applyFont="1" applyBorder="1" applyAlignment="1">
      <alignment horizontal="right" vertical="center"/>
    </xf>
    <xf numFmtId="8" fontId="3" fillId="5" borderId="1" xfId="1" applyNumberFormat="1" applyFont="1" applyFill="1" applyBorder="1" applyAlignment="1">
      <alignment horizontal="right" vertical="center"/>
    </xf>
    <xf numFmtId="44" fontId="3" fillId="5" borderId="1" xfId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9" fontId="2" fillId="0" borderId="1" xfId="0" applyNumberFormat="1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297C-269D-4757-ACC7-045C9F286F60}">
  <dimension ref="A2:C14"/>
  <sheetViews>
    <sheetView showGridLines="0" workbookViewId="0">
      <selection activeCell="A4" sqref="A4:B6"/>
    </sheetView>
  </sheetViews>
  <sheetFormatPr baseColWidth="10" defaultRowHeight="15" x14ac:dyDescent="0.25"/>
  <cols>
    <col min="1" max="1" width="40" bestFit="1" customWidth="1"/>
  </cols>
  <sheetData>
    <row r="2" spans="1:3" x14ac:dyDescent="0.25">
      <c r="A2" s="8" t="s">
        <v>7</v>
      </c>
      <c r="C2" t="s">
        <v>4</v>
      </c>
    </row>
    <row r="4" spans="1:3" x14ac:dyDescent="0.25">
      <c r="A4" t="s">
        <v>3</v>
      </c>
      <c r="B4" s="7">
        <v>1688000</v>
      </c>
    </row>
    <row r="5" spans="1:3" x14ac:dyDescent="0.25">
      <c r="A5" t="s">
        <v>5</v>
      </c>
      <c r="B5" s="7">
        <v>388000</v>
      </c>
    </row>
    <row r="6" spans="1:3" x14ac:dyDescent="0.25">
      <c r="A6" s="9" t="s">
        <v>6</v>
      </c>
      <c r="B6" s="12">
        <f>B4-B5</f>
        <v>1300000</v>
      </c>
    </row>
    <row r="8" spans="1:3" x14ac:dyDescent="0.25">
      <c r="A8" s="8" t="s">
        <v>8</v>
      </c>
    </row>
    <row r="10" spans="1:3" x14ac:dyDescent="0.25">
      <c r="A10" s="9" t="s">
        <v>9</v>
      </c>
      <c r="B10" s="9"/>
      <c r="C10" s="9"/>
    </row>
    <row r="12" spans="1:3" x14ac:dyDescent="0.25">
      <c r="A12" s="8" t="s">
        <v>10</v>
      </c>
    </row>
    <row r="14" spans="1:3" x14ac:dyDescent="0.25">
      <c r="A14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BD3AC-2C5B-418B-A4EE-1A6D5E14D5D0}">
  <dimension ref="A2:C31"/>
  <sheetViews>
    <sheetView showGridLines="0" workbookViewId="0">
      <selection activeCell="G30" sqref="G30"/>
    </sheetView>
  </sheetViews>
  <sheetFormatPr baseColWidth="10" defaultRowHeight="15" x14ac:dyDescent="0.25"/>
  <cols>
    <col min="1" max="1" width="29.7109375" bestFit="1" customWidth="1"/>
    <col min="2" max="2" width="15.28515625" bestFit="1" customWidth="1"/>
  </cols>
  <sheetData>
    <row r="2" spans="1:2" x14ac:dyDescent="0.25">
      <c r="A2" s="8" t="s">
        <v>12</v>
      </c>
    </row>
    <row r="4" spans="1:2" x14ac:dyDescent="0.25">
      <c r="A4" t="s">
        <v>13</v>
      </c>
      <c r="B4" s="2">
        <v>40000000</v>
      </c>
    </row>
    <row r="5" spans="1:2" x14ac:dyDescent="0.25">
      <c r="A5" t="s">
        <v>14</v>
      </c>
      <c r="B5" s="2">
        <v>200</v>
      </c>
    </row>
    <row r="6" spans="1:2" x14ac:dyDescent="0.25">
      <c r="A6" s="9" t="s">
        <v>15</v>
      </c>
      <c r="B6" s="9">
        <f>B4/B5</f>
        <v>200000</v>
      </c>
    </row>
    <row r="8" spans="1:2" x14ac:dyDescent="0.25">
      <c r="A8" s="8" t="s">
        <v>16</v>
      </c>
    </row>
    <row r="10" spans="1:2" x14ac:dyDescent="0.25">
      <c r="A10" t="s">
        <v>15</v>
      </c>
      <c r="B10">
        <f>B6</f>
        <v>200000</v>
      </c>
    </row>
    <row r="11" spans="1:2" x14ac:dyDescent="0.25">
      <c r="A11" t="s">
        <v>17</v>
      </c>
      <c r="B11" s="2">
        <v>210</v>
      </c>
    </row>
    <row r="12" spans="1:2" x14ac:dyDescent="0.25">
      <c r="A12" s="9" t="s">
        <v>18</v>
      </c>
      <c r="B12" s="10">
        <f>B10*B11</f>
        <v>42000000</v>
      </c>
    </row>
    <row r="15" spans="1:2" x14ac:dyDescent="0.25">
      <c r="A15" s="8" t="s">
        <v>19</v>
      </c>
    </row>
    <row r="17" spans="1:3" x14ac:dyDescent="0.25">
      <c r="A17" t="s">
        <v>20</v>
      </c>
    </row>
    <row r="18" spans="1:3" x14ac:dyDescent="0.25">
      <c r="A18" t="s">
        <v>21</v>
      </c>
    </row>
    <row r="19" spans="1:3" x14ac:dyDescent="0.25">
      <c r="A19" t="s">
        <v>22</v>
      </c>
    </row>
    <row r="21" spans="1:3" x14ac:dyDescent="0.25">
      <c r="A21" s="8" t="s">
        <v>23</v>
      </c>
    </row>
    <row r="23" spans="1:3" x14ac:dyDescent="0.25">
      <c r="A23" s="9" t="s">
        <v>26</v>
      </c>
      <c r="B23" s="11"/>
      <c r="C23" s="11"/>
    </row>
    <row r="25" spans="1:3" x14ac:dyDescent="0.25">
      <c r="A25" s="8" t="s">
        <v>24</v>
      </c>
    </row>
    <row r="27" spans="1:3" x14ac:dyDescent="0.25">
      <c r="A27" t="s">
        <v>25</v>
      </c>
    </row>
    <row r="29" spans="1:3" x14ac:dyDescent="0.25">
      <c r="A29" t="s">
        <v>3</v>
      </c>
      <c r="B29" s="7">
        <v>5000000</v>
      </c>
    </row>
    <row r="30" spans="1:3" x14ac:dyDescent="0.25">
      <c r="A30" t="s">
        <v>5</v>
      </c>
      <c r="B30" s="7">
        <v>1500000</v>
      </c>
    </row>
    <row r="31" spans="1:3" x14ac:dyDescent="0.25">
      <c r="A31" s="9" t="s">
        <v>6</v>
      </c>
      <c r="B31" s="12">
        <f>B29-B30</f>
        <v>3500000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8C59-D321-45FB-9C46-89AC56A18AFF}">
  <dimension ref="A2:E29"/>
  <sheetViews>
    <sheetView showGridLines="0" workbookViewId="0">
      <selection activeCell="J15" sqref="J15"/>
    </sheetView>
  </sheetViews>
  <sheetFormatPr baseColWidth="10" defaultRowHeight="15" x14ac:dyDescent="0.25"/>
  <cols>
    <col min="1" max="1" width="26.28515625" customWidth="1"/>
    <col min="2" max="2" width="28" customWidth="1"/>
    <col min="3" max="3" width="20.85546875" customWidth="1"/>
    <col min="4" max="4" width="24.28515625" customWidth="1"/>
    <col min="5" max="5" width="26.140625" customWidth="1"/>
    <col min="6" max="6" width="12.140625" bestFit="1" customWidth="1"/>
  </cols>
  <sheetData>
    <row r="2" spans="1:5" x14ac:dyDescent="0.25">
      <c r="A2" s="4" t="s">
        <v>37</v>
      </c>
    </row>
    <row r="4" spans="1:5" x14ac:dyDescent="0.25">
      <c r="A4" t="s">
        <v>34</v>
      </c>
      <c r="C4" s="14">
        <f>-PMT(0.045,5,2000000)</f>
        <v>455583.27900892415</v>
      </c>
    </row>
    <row r="6" spans="1:5" ht="75" x14ac:dyDescent="0.25">
      <c r="A6" s="15" t="s">
        <v>27</v>
      </c>
      <c r="B6" s="15" t="s">
        <v>28</v>
      </c>
      <c r="C6" s="15" t="s">
        <v>29</v>
      </c>
      <c r="D6" s="15" t="s">
        <v>30</v>
      </c>
      <c r="E6" s="15" t="s">
        <v>31</v>
      </c>
    </row>
    <row r="7" spans="1:5" x14ac:dyDescent="0.25">
      <c r="A7" s="16" t="s">
        <v>0</v>
      </c>
      <c r="B7" s="17">
        <v>2000000</v>
      </c>
      <c r="C7" s="17">
        <f>B7*0.045</f>
        <v>90000</v>
      </c>
      <c r="D7" s="18">
        <f>E7-C7</f>
        <v>365583.27900892415</v>
      </c>
      <c r="E7" s="18">
        <f>$C$4</f>
        <v>455583.27900892415</v>
      </c>
    </row>
    <row r="8" spans="1:5" x14ac:dyDescent="0.25">
      <c r="A8" s="16" t="s">
        <v>32</v>
      </c>
      <c r="B8" s="17">
        <f>B7-D7</f>
        <v>1634416.720991076</v>
      </c>
      <c r="C8" s="17">
        <f t="shared" ref="C8:C11" si="0">B8*0.045</f>
        <v>73548.752444598416</v>
      </c>
      <c r="D8" s="18">
        <f t="shared" ref="D8:D11" si="1">E8-C8</f>
        <v>382034.52656432573</v>
      </c>
      <c r="E8" s="18">
        <f>$C$4</f>
        <v>455583.27900892415</v>
      </c>
    </row>
    <row r="9" spans="1:5" x14ac:dyDescent="0.25">
      <c r="A9" s="16" t="s">
        <v>33</v>
      </c>
      <c r="B9" s="17">
        <f t="shared" ref="B9:B11" si="2">B8-D8</f>
        <v>1252382.1944267503</v>
      </c>
      <c r="C9" s="17">
        <f t="shared" si="0"/>
        <v>56357.198749203759</v>
      </c>
      <c r="D9" s="18">
        <f t="shared" si="1"/>
        <v>399226.08025972039</v>
      </c>
      <c r="E9" s="18">
        <f>$C$4</f>
        <v>455583.27900892415</v>
      </c>
    </row>
    <row r="10" spans="1:5" x14ac:dyDescent="0.25">
      <c r="A10" s="16" t="s">
        <v>35</v>
      </c>
      <c r="B10" s="17">
        <f t="shared" si="2"/>
        <v>853156.11416702997</v>
      </c>
      <c r="C10" s="17">
        <f t="shared" si="0"/>
        <v>38392.02513751635</v>
      </c>
      <c r="D10" s="18">
        <f t="shared" si="1"/>
        <v>417191.25387140783</v>
      </c>
      <c r="E10" s="18">
        <f>$C$4</f>
        <v>455583.27900892415</v>
      </c>
    </row>
    <row r="11" spans="1:5" x14ac:dyDescent="0.25">
      <c r="A11" s="16" t="s">
        <v>36</v>
      </c>
      <c r="B11" s="17">
        <f t="shared" si="2"/>
        <v>435964.86029562214</v>
      </c>
      <c r="C11" s="17">
        <f t="shared" si="0"/>
        <v>19618.418713302995</v>
      </c>
      <c r="D11" s="18">
        <f t="shared" si="1"/>
        <v>435964.86029562115</v>
      </c>
      <c r="E11" s="18">
        <f>$C$4</f>
        <v>455583.27900892415</v>
      </c>
    </row>
    <row r="14" spans="1:5" x14ac:dyDescent="0.25">
      <c r="A14" s="4" t="s">
        <v>38</v>
      </c>
    </row>
    <row r="16" spans="1:5" x14ac:dyDescent="0.25">
      <c r="A16" s="15" t="s">
        <v>27</v>
      </c>
      <c r="B16" s="15" t="s">
        <v>39</v>
      </c>
      <c r="C16" s="15" t="s">
        <v>40</v>
      </c>
    </row>
    <row r="17" spans="1:3" x14ac:dyDescent="0.25">
      <c r="A17" s="16" t="s">
        <v>0</v>
      </c>
      <c r="B17" s="17">
        <f>C7*0.25</f>
        <v>22500</v>
      </c>
      <c r="C17" s="18">
        <f>+E7-B17</f>
        <v>433083.27900892415</v>
      </c>
    </row>
    <row r="18" spans="1:3" x14ac:dyDescent="0.25">
      <c r="A18" s="16" t="s">
        <v>32</v>
      </c>
      <c r="B18" s="17">
        <f t="shared" ref="B18:B21" si="3">C8*0.25</f>
        <v>18387.188111149604</v>
      </c>
      <c r="C18" s="18">
        <f t="shared" ref="C18:C21" si="4">+E8-B18</f>
        <v>437196.09089777456</v>
      </c>
    </row>
    <row r="19" spans="1:3" x14ac:dyDescent="0.25">
      <c r="A19" s="16" t="s">
        <v>33</v>
      </c>
      <c r="B19" s="17">
        <f t="shared" si="3"/>
        <v>14089.29968730094</v>
      </c>
      <c r="C19" s="18">
        <f t="shared" si="4"/>
        <v>441493.97932162322</v>
      </c>
    </row>
    <row r="20" spans="1:3" x14ac:dyDescent="0.25">
      <c r="A20" s="16" t="s">
        <v>35</v>
      </c>
      <c r="B20" s="17">
        <f t="shared" si="3"/>
        <v>9598.0062843790874</v>
      </c>
      <c r="C20" s="18">
        <f t="shared" si="4"/>
        <v>445985.27272454504</v>
      </c>
    </row>
    <row r="21" spans="1:3" x14ac:dyDescent="0.25">
      <c r="A21" s="16" t="s">
        <v>36</v>
      </c>
      <c r="B21" s="17">
        <f t="shared" si="3"/>
        <v>4904.6046783257489</v>
      </c>
      <c r="C21" s="18">
        <f t="shared" si="4"/>
        <v>450678.67433059838</v>
      </c>
    </row>
    <row r="24" spans="1:3" x14ac:dyDescent="0.25">
      <c r="A24" s="19" t="s">
        <v>41</v>
      </c>
    </row>
    <row r="26" spans="1:3" x14ac:dyDescent="0.25">
      <c r="A26" s="20" t="s">
        <v>42</v>
      </c>
      <c r="B26" s="20"/>
      <c r="C26" s="21">
        <f>SUM(C7:C11)-SUM(B17:B21)</f>
        <v>208437.29628346616</v>
      </c>
    </row>
    <row r="27" spans="1:3" x14ac:dyDescent="0.25">
      <c r="A27" s="20" t="s">
        <v>43</v>
      </c>
      <c r="B27" s="20"/>
      <c r="C27" s="22">
        <f>SUM(C17:C21)-B7</f>
        <v>208437.29628346534</v>
      </c>
    </row>
    <row r="29" spans="1:3" x14ac:dyDescent="0.25">
      <c r="A29" s="20" t="s">
        <v>44</v>
      </c>
      <c r="B29" s="20"/>
      <c r="C29" s="23">
        <v>3.3750000000000002E-2</v>
      </c>
    </row>
  </sheetData>
  <mergeCells count="3">
    <mergeCell ref="A26:B26"/>
    <mergeCell ref="A27:B27"/>
    <mergeCell ref="A29:B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93E28-8985-48BD-A171-44937E63AD1A}">
  <dimension ref="A1:L39"/>
  <sheetViews>
    <sheetView showGridLines="0" topLeftCell="A12" workbookViewId="0">
      <selection activeCell="L35" sqref="L35"/>
    </sheetView>
  </sheetViews>
  <sheetFormatPr baseColWidth="10" defaultRowHeight="15" x14ac:dyDescent="0.25"/>
  <cols>
    <col min="1" max="1" width="36.7109375" bestFit="1" customWidth="1"/>
    <col min="2" max="2" width="16.5703125" customWidth="1"/>
    <col min="3" max="4" width="11.85546875" bestFit="1" customWidth="1"/>
    <col min="5" max="5" width="18" customWidth="1"/>
    <col min="6" max="6" width="12.85546875" bestFit="1" customWidth="1"/>
    <col min="8" max="8" width="16" customWidth="1"/>
    <col min="9" max="9" width="12.85546875" bestFit="1" customWidth="1"/>
    <col min="10" max="10" width="12" bestFit="1" customWidth="1"/>
    <col min="11" max="11" width="19.5703125" customWidth="1"/>
    <col min="12" max="12" width="12.85546875" bestFit="1" customWidth="1"/>
  </cols>
  <sheetData>
    <row r="1" spans="1:12" x14ac:dyDescent="0.25">
      <c r="A1" s="4" t="s">
        <v>45</v>
      </c>
    </row>
    <row r="3" spans="1:12" x14ac:dyDescent="0.25">
      <c r="A3" s="24" t="s">
        <v>46</v>
      </c>
      <c r="B3" s="25">
        <v>200000</v>
      </c>
    </row>
    <row r="4" spans="1:12" x14ac:dyDescent="0.25">
      <c r="A4" s="24" t="s">
        <v>47</v>
      </c>
      <c r="B4" s="26">
        <v>0.03</v>
      </c>
    </row>
    <row r="5" spans="1:12" x14ac:dyDescent="0.25">
      <c r="A5" s="24" t="s">
        <v>48</v>
      </c>
      <c r="B5" s="24">
        <v>4</v>
      </c>
    </row>
    <row r="6" spans="1:12" ht="30" x14ac:dyDescent="0.25">
      <c r="A6" s="27" t="s">
        <v>27</v>
      </c>
      <c r="B6" s="27" t="s">
        <v>49</v>
      </c>
      <c r="C6" s="27" t="s">
        <v>50</v>
      </c>
      <c r="D6" s="27" t="s">
        <v>29</v>
      </c>
      <c r="E6" s="27" t="s">
        <v>51</v>
      </c>
    </row>
    <row r="7" spans="1:12" x14ac:dyDescent="0.25">
      <c r="A7" s="28">
        <v>1</v>
      </c>
      <c r="B7" s="29">
        <f>B3</f>
        <v>200000</v>
      </c>
      <c r="C7" s="30">
        <f>-PMT(B4,B5,B3)</f>
        <v>53805.40903861649</v>
      </c>
      <c r="D7" s="29">
        <f>B7*$B$4</f>
        <v>6000</v>
      </c>
      <c r="E7" s="30">
        <f>C7-D7</f>
        <v>47805.40903861649</v>
      </c>
    </row>
    <row r="8" spans="1:12" x14ac:dyDescent="0.25">
      <c r="A8" s="28">
        <v>2</v>
      </c>
      <c r="B8" s="30">
        <f>B7-E7</f>
        <v>152194.59096138351</v>
      </c>
      <c r="C8" s="30">
        <f>C7</f>
        <v>53805.40903861649</v>
      </c>
      <c r="D8" s="29">
        <f>B8*$B$4</f>
        <v>4565.8377288415049</v>
      </c>
      <c r="E8" s="30">
        <f>C8-D8</f>
        <v>49239.571309774983</v>
      </c>
    </row>
    <row r="9" spans="1:12" x14ac:dyDescent="0.25">
      <c r="A9" s="28">
        <v>3</v>
      </c>
      <c r="B9" s="30">
        <f>B8-E8</f>
        <v>102955.01965160853</v>
      </c>
      <c r="C9" s="30">
        <f>C8</f>
        <v>53805.40903861649</v>
      </c>
      <c r="D9" s="29">
        <f>B9*$B$4</f>
        <v>3088.6505895482555</v>
      </c>
      <c r="E9" s="30">
        <f>C9-D9</f>
        <v>50716.758449068235</v>
      </c>
    </row>
    <row r="10" spans="1:12" x14ac:dyDescent="0.25">
      <c r="A10" s="28">
        <v>4</v>
      </c>
      <c r="B10" s="30">
        <f>B9-E9</f>
        <v>52238.261202540292</v>
      </c>
      <c r="C10" s="30">
        <f>C9</f>
        <v>53805.40903861649</v>
      </c>
      <c r="D10" s="29">
        <f>B10*$B$4</f>
        <v>1567.1478360762087</v>
      </c>
      <c r="E10" s="30">
        <f>C10-D10</f>
        <v>52238.261202540278</v>
      </c>
    </row>
    <row r="12" spans="1:12" x14ac:dyDescent="0.25">
      <c r="L12" s="1"/>
    </row>
    <row r="13" spans="1:12" x14ac:dyDescent="0.25">
      <c r="A13" s="5"/>
      <c r="B13" s="6">
        <v>1</v>
      </c>
      <c r="C13" s="6">
        <v>2</v>
      </c>
      <c r="D13" s="6">
        <v>3</v>
      </c>
      <c r="E13" s="31">
        <v>4</v>
      </c>
      <c r="L13" s="1"/>
    </row>
    <row r="14" spans="1:12" x14ac:dyDescent="0.25">
      <c r="A14" s="5" t="s">
        <v>29</v>
      </c>
      <c r="B14" s="32">
        <f>D7</f>
        <v>6000</v>
      </c>
      <c r="C14" s="32">
        <f>D8</f>
        <v>4565.8377288415049</v>
      </c>
      <c r="D14" s="32">
        <f>D9</f>
        <v>3088.6505895482555</v>
      </c>
      <c r="E14" s="33">
        <f>D10</f>
        <v>1567.1478360762087</v>
      </c>
    </row>
    <row r="15" spans="1:12" x14ac:dyDescent="0.25">
      <c r="A15" s="5" t="s">
        <v>52</v>
      </c>
      <c r="B15" s="32">
        <f>200000/5</f>
        <v>40000</v>
      </c>
      <c r="C15" s="32">
        <f>200000/5</f>
        <v>40000</v>
      </c>
      <c r="D15" s="32">
        <f>200000/5</f>
        <v>40000</v>
      </c>
      <c r="E15" s="32">
        <f>200000/5</f>
        <v>40000</v>
      </c>
    </row>
    <row r="16" spans="1:12" x14ac:dyDescent="0.25">
      <c r="A16" s="5" t="s">
        <v>53</v>
      </c>
      <c r="B16" s="32">
        <f>(B14+B15)*0.25</f>
        <v>11500</v>
      </c>
      <c r="C16" s="32">
        <f>(C14+C15)*0.25</f>
        <v>11141.459432210377</v>
      </c>
      <c r="D16" s="32">
        <f>(D14+D15)*0.25</f>
        <v>10772.162647387064</v>
      </c>
      <c r="E16" s="32">
        <f>(E14+E15)*0.25</f>
        <v>10391.786959019053</v>
      </c>
    </row>
    <row r="18" spans="1:8" x14ac:dyDescent="0.25">
      <c r="A18" s="5"/>
      <c r="B18" s="6">
        <v>1</v>
      </c>
      <c r="C18" s="6">
        <v>2</v>
      </c>
      <c r="D18" s="6">
        <v>3</v>
      </c>
      <c r="E18" s="31">
        <v>4</v>
      </c>
    </row>
    <row r="19" spans="1:8" x14ac:dyDescent="0.25">
      <c r="A19" s="5" t="s">
        <v>50</v>
      </c>
      <c r="B19" s="34">
        <f>C7</f>
        <v>53805.40903861649</v>
      </c>
      <c r="C19" s="32">
        <f>B19</f>
        <v>53805.40903861649</v>
      </c>
      <c r="D19" s="32">
        <f>C19</f>
        <v>53805.40903861649</v>
      </c>
      <c r="E19" s="32">
        <f>D19</f>
        <v>53805.40903861649</v>
      </c>
    </row>
    <row r="20" spans="1:8" ht="15.75" customHeight="1" x14ac:dyDescent="0.25">
      <c r="A20" s="5" t="str">
        <f>A16</f>
        <v>Economie IS</v>
      </c>
      <c r="B20" s="32">
        <f>B16</f>
        <v>11500</v>
      </c>
      <c r="C20" s="32">
        <f>C16</f>
        <v>11141.459432210377</v>
      </c>
      <c r="D20" s="32">
        <f>D16</f>
        <v>10772.162647387064</v>
      </c>
      <c r="E20" s="32">
        <f>E16</f>
        <v>10391.786959019053</v>
      </c>
    </row>
    <row r="21" spans="1:8" ht="15.75" customHeight="1" x14ac:dyDescent="0.25">
      <c r="A21" s="35" t="s">
        <v>54</v>
      </c>
      <c r="B21" s="32"/>
      <c r="C21" s="32"/>
      <c r="D21" s="32"/>
      <c r="E21" s="32">
        <f>60000-(60000-(200000-160000))*0.25</f>
        <v>55000</v>
      </c>
    </row>
    <row r="22" spans="1:8" x14ac:dyDescent="0.25">
      <c r="A22" s="41" t="s">
        <v>55</v>
      </c>
      <c r="B22" s="42">
        <f>B19-B20</f>
        <v>42305.40903861649</v>
      </c>
      <c r="C22" s="42">
        <f>C19-C20</f>
        <v>42663.94960640611</v>
      </c>
      <c r="D22" s="42">
        <f>D19-D20</f>
        <v>43033.246391229426</v>
      </c>
      <c r="E22" s="42">
        <f>E19-E20-E21</f>
        <v>-11586.377920402563</v>
      </c>
      <c r="F22" s="43">
        <f>SUM(B22:E22)</f>
        <v>116416.22711584947</v>
      </c>
      <c r="G22" s="9" t="s">
        <v>56</v>
      </c>
      <c r="H22" s="9"/>
    </row>
    <row r="23" spans="1:8" x14ac:dyDescent="0.25">
      <c r="A23" s="41" t="s">
        <v>57</v>
      </c>
      <c r="B23" s="44">
        <f>B22*1.02^-1</f>
        <v>41475.891214329888</v>
      </c>
      <c r="C23" s="44">
        <f>C22*1.02^-2</f>
        <v>41007.256445988191</v>
      </c>
      <c r="D23" s="44">
        <f>D22*1.02^-3</f>
        <v>40551.189202521498</v>
      </c>
      <c r="E23" s="44">
        <f>E22*1.02^-4</f>
        <v>-10704.022245978504</v>
      </c>
      <c r="F23" s="43">
        <f>SUM(B23:E23)</f>
        <v>112330.31461686108</v>
      </c>
      <c r="G23" s="9" t="s">
        <v>58</v>
      </c>
      <c r="H23" s="9"/>
    </row>
    <row r="24" spans="1:8" x14ac:dyDescent="0.25">
      <c r="A24" s="36"/>
      <c r="B24" s="37"/>
      <c r="C24" s="37"/>
      <c r="D24" s="37"/>
      <c r="E24" s="37"/>
      <c r="F24" s="1"/>
    </row>
    <row r="25" spans="1:8" x14ac:dyDescent="0.25">
      <c r="A25" s="38" t="s">
        <v>59</v>
      </c>
      <c r="B25" s="37"/>
      <c r="C25" s="37"/>
      <c r="D25" s="37"/>
      <c r="E25" s="37"/>
      <c r="F25" s="1"/>
    </row>
    <row r="27" spans="1:8" x14ac:dyDescent="0.25">
      <c r="A27" s="5"/>
      <c r="B27" s="6">
        <v>1</v>
      </c>
      <c r="C27" s="6">
        <v>2</v>
      </c>
      <c r="D27" s="6">
        <v>3</v>
      </c>
      <c r="E27" s="31">
        <v>4</v>
      </c>
    </row>
    <row r="28" spans="1:8" x14ac:dyDescent="0.25">
      <c r="A28" s="5" t="s">
        <v>60</v>
      </c>
      <c r="B28" s="5">
        <v>18000</v>
      </c>
      <c r="C28" s="5">
        <v>20000</v>
      </c>
      <c r="D28" s="5">
        <v>60000</v>
      </c>
      <c r="E28" s="39">
        <v>60000</v>
      </c>
    </row>
    <row r="29" spans="1:8" x14ac:dyDescent="0.25">
      <c r="A29" s="5" t="s">
        <v>53</v>
      </c>
      <c r="B29" s="5">
        <f>B28*0.25</f>
        <v>4500</v>
      </c>
      <c r="C29" s="5">
        <f>C28*0.25</f>
        <v>5000</v>
      </c>
      <c r="D29" s="5">
        <f>D28*0.25</f>
        <v>15000</v>
      </c>
      <c r="E29" s="5">
        <f>E28*0.25</f>
        <v>15000</v>
      </c>
    </row>
    <row r="31" spans="1:8" x14ac:dyDescent="0.25">
      <c r="A31" s="5"/>
      <c r="B31" s="6">
        <v>1</v>
      </c>
      <c r="C31" s="6">
        <v>2</v>
      </c>
      <c r="D31" s="6">
        <v>3</v>
      </c>
      <c r="E31" s="31">
        <v>4</v>
      </c>
    </row>
    <row r="32" spans="1:8" x14ac:dyDescent="0.25">
      <c r="A32" s="5" t="s">
        <v>61</v>
      </c>
      <c r="B32" s="32">
        <f t="shared" ref="B32:E33" si="0">B28</f>
        <v>18000</v>
      </c>
      <c r="C32" s="32">
        <f t="shared" si="0"/>
        <v>20000</v>
      </c>
      <c r="D32" s="32">
        <f t="shared" si="0"/>
        <v>60000</v>
      </c>
      <c r="E32" s="32">
        <f t="shared" si="0"/>
        <v>60000</v>
      </c>
    </row>
    <row r="33" spans="1:8" x14ac:dyDescent="0.25">
      <c r="A33" s="5" t="str">
        <f>A29</f>
        <v>Economie IS</v>
      </c>
      <c r="B33" s="32">
        <f t="shared" si="0"/>
        <v>4500</v>
      </c>
      <c r="C33" s="32">
        <f t="shared" si="0"/>
        <v>5000</v>
      </c>
      <c r="D33" s="32">
        <f t="shared" si="0"/>
        <v>15000</v>
      </c>
      <c r="E33" s="40">
        <f t="shared" si="0"/>
        <v>15000</v>
      </c>
    </row>
    <row r="34" spans="1:8" x14ac:dyDescent="0.25">
      <c r="A34" s="41" t="s">
        <v>55</v>
      </c>
      <c r="B34" s="42">
        <f>B32-B33</f>
        <v>13500</v>
      </c>
      <c r="C34" s="42">
        <f>C32-C33</f>
        <v>15000</v>
      </c>
      <c r="D34" s="42">
        <f>D32-D33</f>
        <v>45000</v>
      </c>
      <c r="E34" s="42">
        <f>E32-E33</f>
        <v>45000</v>
      </c>
      <c r="F34" s="43">
        <f>SUM(B34:E34)</f>
        <v>118500</v>
      </c>
      <c r="G34" s="9" t="s">
        <v>56</v>
      </c>
      <c r="H34" s="9"/>
    </row>
    <row r="35" spans="1:8" x14ac:dyDescent="0.25">
      <c r="A35" s="41" t="s">
        <v>57</v>
      </c>
      <c r="B35" s="44">
        <f>B34*1.02^-1</f>
        <v>13235.294117647058</v>
      </c>
      <c r="C35" s="44">
        <f>C34*1.02^-2</f>
        <v>14417.531718569782</v>
      </c>
      <c r="D35" s="44">
        <f>D34*1.02^-3</f>
        <v>42404.50505461701</v>
      </c>
      <c r="E35" s="44">
        <f>E34*1.02^-4</f>
        <v>41573.044171193142</v>
      </c>
      <c r="F35" s="43">
        <f>SUM(B35:E35)</f>
        <v>111630.37506202699</v>
      </c>
      <c r="G35" s="9" t="s">
        <v>58</v>
      </c>
      <c r="H35" s="9"/>
    </row>
    <row r="39" spans="1:8" x14ac:dyDescent="0.25">
      <c r="A39" s="4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7DA79-2263-47A6-BDD1-178191E14442}">
  <dimension ref="A1:K56"/>
  <sheetViews>
    <sheetView showGridLines="0" tabSelected="1" workbookViewId="0">
      <selection activeCell="J22" sqref="J22"/>
    </sheetView>
  </sheetViews>
  <sheetFormatPr baseColWidth="10" defaultRowHeight="15" x14ac:dyDescent="0.25"/>
  <cols>
    <col min="1" max="1" width="30.140625" customWidth="1"/>
    <col min="2" max="5" width="12.85546875" bestFit="1" customWidth="1"/>
    <col min="8" max="8" width="23.140625" customWidth="1"/>
    <col min="9" max="9" width="11.85546875" bestFit="1" customWidth="1"/>
    <col min="10" max="10" width="28.140625" customWidth="1"/>
    <col min="11" max="11" width="23.28515625" customWidth="1"/>
  </cols>
  <sheetData>
    <row r="1" spans="1:11" ht="23.25" x14ac:dyDescent="0.35">
      <c r="A1" s="51" t="s">
        <v>84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x14ac:dyDescent="0.25">
      <c r="A2" t="s">
        <v>64</v>
      </c>
      <c r="B2" s="2">
        <v>225000</v>
      </c>
      <c r="C2" s="3" t="s">
        <v>65</v>
      </c>
      <c r="D2" t="s">
        <v>66</v>
      </c>
    </row>
    <row r="3" spans="1:11" x14ac:dyDescent="0.25">
      <c r="A3" t="s">
        <v>63</v>
      </c>
      <c r="B3" s="2">
        <v>120000</v>
      </c>
    </row>
    <row r="4" spans="1:11" x14ac:dyDescent="0.25">
      <c r="A4" t="s">
        <v>72</v>
      </c>
      <c r="B4" s="2">
        <v>15000</v>
      </c>
    </row>
    <row r="6" spans="1:11" x14ac:dyDescent="0.25">
      <c r="A6" s="5" t="s">
        <v>27</v>
      </c>
      <c r="B6" s="6">
        <v>1</v>
      </c>
      <c r="C6" s="6">
        <v>2</v>
      </c>
      <c r="D6" s="6">
        <v>3</v>
      </c>
    </row>
    <row r="7" spans="1:11" x14ac:dyDescent="0.25">
      <c r="A7" s="5" t="s">
        <v>68</v>
      </c>
      <c r="B7" s="32">
        <v>125000</v>
      </c>
      <c r="C7" s="32">
        <v>150000</v>
      </c>
      <c r="D7" s="32">
        <v>165000</v>
      </c>
    </row>
    <row r="8" spans="1:11" x14ac:dyDescent="0.25">
      <c r="A8" s="5" t="s">
        <v>1</v>
      </c>
      <c r="B8" s="32">
        <v>65000</v>
      </c>
      <c r="C8" s="32">
        <v>90000</v>
      </c>
      <c r="D8" s="32">
        <v>102000</v>
      </c>
      <c r="G8" s="13" t="s">
        <v>83</v>
      </c>
      <c r="H8" s="13" t="s">
        <v>48</v>
      </c>
      <c r="I8" s="13" t="s">
        <v>47</v>
      </c>
    </row>
    <row r="9" spans="1:11" x14ac:dyDescent="0.25">
      <c r="A9" s="5" t="s">
        <v>52</v>
      </c>
      <c r="B9" s="32">
        <f>B2/5</f>
        <v>45000</v>
      </c>
      <c r="C9" s="32">
        <f>B9</f>
        <v>45000</v>
      </c>
      <c r="D9" s="32">
        <f>C9</f>
        <v>45000</v>
      </c>
      <c r="G9" s="13">
        <v>225000</v>
      </c>
      <c r="H9" s="13">
        <v>3</v>
      </c>
      <c r="I9" s="52">
        <v>0.06</v>
      </c>
    </row>
    <row r="10" spans="1:11" ht="30" x14ac:dyDescent="0.25">
      <c r="A10" s="5" t="s">
        <v>29</v>
      </c>
      <c r="B10" s="32">
        <f>I11</f>
        <v>13500</v>
      </c>
      <c r="C10" s="32">
        <f>I12</f>
        <v>9259.5175273275509</v>
      </c>
      <c r="D10" s="32">
        <f>I13</f>
        <v>4764.6061062947565</v>
      </c>
      <c r="G10" s="45" t="s">
        <v>27</v>
      </c>
      <c r="H10" s="45" t="s">
        <v>28</v>
      </c>
      <c r="I10" s="45" t="s">
        <v>29</v>
      </c>
      <c r="J10" s="45" t="s">
        <v>67</v>
      </c>
      <c r="K10" s="45" t="s">
        <v>50</v>
      </c>
    </row>
    <row r="11" spans="1:11" x14ac:dyDescent="0.25">
      <c r="A11" s="5" t="s">
        <v>69</v>
      </c>
      <c r="B11" s="33">
        <f>B7-SUM(B8:B10)</f>
        <v>1500</v>
      </c>
      <c r="C11" s="33">
        <f t="shared" ref="C11:D11" si="0">C7-SUM(C8:C10)</f>
        <v>5740.4824726724473</v>
      </c>
      <c r="D11" s="33">
        <f t="shared" si="0"/>
        <v>13235.393893705244</v>
      </c>
      <c r="G11" s="46" t="s">
        <v>0</v>
      </c>
      <c r="H11" s="47">
        <f>G9</f>
        <v>225000</v>
      </c>
      <c r="I11" s="47">
        <f>H11*$I$9</f>
        <v>13500</v>
      </c>
      <c r="J11" s="48">
        <f>K11-I11</f>
        <v>70674.707877874127</v>
      </c>
      <c r="K11" s="49">
        <f>-PMT(I9,H9,G9)</f>
        <v>84174.707877874127</v>
      </c>
    </row>
    <row r="12" spans="1:11" x14ac:dyDescent="0.25">
      <c r="A12" s="5" t="s">
        <v>70</v>
      </c>
      <c r="B12" s="33">
        <f>B11*0.25</f>
        <v>375</v>
      </c>
      <c r="C12" s="33">
        <f t="shared" ref="C12:D12" si="1">C11*0.25</f>
        <v>1435.1206181681118</v>
      </c>
      <c r="D12" s="33">
        <f t="shared" si="1"/>
        <v>3308.8484734263111</v>
      </c>
      <c r="G12" s="46" t="s">
        <v>32</v>
      </c>
      <c r="H12" s="47">
        <f>H11-J11</f>
        <v>154325.29212212586</v>
      </c>
      <c r="I12" s="47">
        <f>H12*$I$9</f>
        <v>9259.5175273275509</v>
      </c>
      <c r="J12" s="48">
        <f t="shared" ref="J12:J13" si="2">K12-I12</f>
        <v>74915.190350546574</v>
      </c>
      <c r="K12" s="50">
        <f>K11</f>
        <v>84174.707877874127</v>
      </c>
    </row>
    <row r="13" spans="1:11" x14ac:dyDescent="0.25">
      <c r="A13" s="5" t="s">
        <v>71</v>
      </c>
      <c r="B13" s="33">
        <f>B11-B12</f>
        <v>1125</v>
      </c>
      <c r="C13" s="33">
        <f t="shared" ref="C13:D13" si="3">C11-C12</f>
        <v>4305.3618545043355</v>
      </c>
      <c r="D13" s="33">
        <f t="shared" si="3"/>
        <v>9926.5454202789333</v>
      </c>
      <c r="G13" s="46" t="s">
        <v>33</v>
      </c>
      <c r="H13" s="47">
        <f>H12-J12</f>
        <v>79410.101771579284</v>
      </c>
      <c r="I13" s="47">
        <f>H13*$I$9</f>
        <v>4764.6061062947565</v>
      </c>
      <c r="J13" s="48">
        <f t="shared" si="2"/>
        <v>79410.101771579371</v>
      </c>
      <c r="K13" s="50">
        <f>K12</f>
        <v>84174.707877874127</v>
      </c>
    </row>
    <row r="14" spans="1:11" x14ac:dyDescent="0.25">
      <c r="A14" s="41" t="s">
        <v>3</v>
      </c>
      <c r="B14" s="44">
        <f>B13+B9</f>
        <v>46125</v>
      </c>
      <c r="C14" s="44">
        <f t="shared" ref="C14:D14" si="4">C13+C9</f>
        <v>49305.361854504335</v>
      </c>
      <c r="D14" s="44">
        <f t="shared" si="4"/>
        <v>54926.545420278933</v>
      </c>
    </row>
    <row r="17" spans="1:11" x14ac:dyDescent="0.25">
      <c r="A17" s="5" t="s">
        <v>27</v>
      </c>
      <c r="B17" s="6">
        <v>0</v>
      </c>
      <c r="C17" s="6">
        <v>1</v>
      </c>
      <c r="D17" s="6">
        <v>2</v>
      </c>
      <c r="E17" s="6">
        <v>3</v>
      </c>
    </row>
    <row r="18" spans="1:11" x14ac:dyDescent="0.25">
      <c r="A18" s="5" t="s">
        <v>73</v>
      </c>
      <c r="B18" s="5"/>
      <c r="C18" s="32"/>
      <c r="D18" s="32"/>
      <c r="E18" s="32"/>
    </row>
    <row r="19" spans="1:11" x14ac:dyDescent="0.25">
      <c r="A19" s="5" t="s">
        <v>3</v>
      </c>
      <c r="B19" s="32"/>
      <c r="C19" s="32">
        <f>B14</f>
        <v>46125</v>
      </c>
      <c r="D19" s="32">
        <f t="shared" ref="D19:E19" si="5">C14</f>
        <v>49305.361854504335</v>
      </c>
      <c r="E19" s="32">
        <f t="shared" si="5"/>
        <v>54926.545420278933</v>
      </c>
    </row>
    <row r="20" spans="1:11" x14ac:dyDescent="0.25">
      <c r="A20" s="5" t="s">
        <v>46</v>
      </c>
      <c r="B20" s="32">
        <f>G9</f>
        <v>225000</v>
      </c>
      <c r="C20" s="32"/>
      <c r="D20" s="32"/>
      <c r="E20" s="32"/>
    </row>
    <row r="21" spans="1:11" x14ac:dyDescent="0.25">
      <c r="A21" s="5" t="s">
        <v>74</v>
      </c>
      <c r="B21" s="32"/>
      <c r="C21" s="32"/>
      <c r="D21" s="32"/>
      <c r="E21" s="32">
        <f>120000-(225000-135000)*0.25</f>
        <v>97500</v>
      </c>
    </row>
    <row r="22" spans="1:11" x14ac:dyDescent="0.25">
      <c r="A22" s="5" t="s">
        <v>75</v>
      </c>
      <c r="B22" s="32"/>
      <c r="C22" s="32"/>
      <c r="D22" s="32"/>
      <c r="E22" s="32">
        <v>15000</v>
      </c>
    </row>
    <row r="23" spans="1:11" x14ac:dyDescent="0.25">
      <c r="A23" s="5" t="s">
        <v>2</v>
      </c>
      <c r="B23" s="32">
        <f>SUM(B19:B22)</f>
        <v>225000</v>
      </c>
      <c r="C23" s="32">
        <f t="shared" ref="C23:E23" si="6">SUM(C19:C22)</f>
        <v>46125</v>
      </c>
      <c r="D23" s="32">
        <f t="shared" si="6"/>
        <v>49305.361854504335</v>
      </c>
      <c r="E23" s="32">
        <f t="shared" si="6"/>
        <v>167426.54542027894</v>
      </c>
    </row>
    <row r="24" spans="1:11" x14ac:dyDescent="0.25">
      <c r="A24" s="5" t="s">
        <v>64</v>
      </c>
      <c r="B24" s="32">
        <v>225000</v>
      </c>
      <c r="C24" s="32"/>
      <c r="D24" s="32"/>
      <c r="E24" s="32"/>
    </row>
    <row r="25" spans="1:11" x14ac:dyDescent="0.25">
      <c r="A25" s="5" t="s">
        <v>72</v>
      </c>
      <c r="B25" s="32">
        <v>15000</v>
      </c>
      <c r="C25" s="32"/>
      <c r="D25" s="32"/>
      <c r="E25" s="32"/>
    </row>
    <row r="26" spans="1:11" x14ac:dyDescent="0.25">
      <c r="A26" s="5" t="s">
        <v>76</v>
      </c>
      <c r="B26" s="32"/>
      <c r="C26" s="32">
        <f>J11</f>
        <v>70674.707877874127</v>
      </c>
      <c r="D26" s="32">
        <f>J12</f>
        <v>74915.190350546574</v>
      </c>
      <c r="E26" s="32">
        <f>J13</f>
        <v>79410.101771579371</v>
      </c>
    </row>
    <row r="27" spans="1:11" x14ac:dyDescent="0.25">
      <c r="A27" s="5" t="s">
        <v>77</v>
      </c>
      <c r="B27" s="32">
        <f>SUM(B24:B26)</f>
        <v>240000</v>
      </c>
      <c r="C27" s="32">
        <f t="shared" ref="C27:E27" si="7">SUM(C24:C26)</f>
        <v>70674.707877874127</v>
      </c>
      <c r="D27" s="32">
        <f t="shared" si="7"/>
        <v>74915.190350546574</v>
      </c>
      <c r="E27" s="32">
        <f t="shared" si="7"/>
        <v>79410.101771579371</v>
      </c>
    </row>
    <row r="28" spans="1:11" x14ac:dyDescent="0.25">
      <c r="A28" s="41" t="s">
        <v>78</v>
      </c>
      <c r="B28" s="42">
        <f>B23-B27</f>
        <v>-15000</v>
      </c>
      <c r="C28" s="42">
        <f>C23-C27</f>
        <v>-24549.707877874127</v>
      </c>
      <c r="D28" s="42">
        <f t="shared" ref="D28:E28" si="8">D23-D27</f>
        <v>-25609.828496042239</v>
      </c>
      <c r="E28" s="42">
        <f t="shared" si="8"/>
        <v>88016.443648699569</v>
      </c>
    </row>
    <row r="29" spans="1:11" x14ac:dyDescent="0.25">
      <c r="A29" s="41" t="s">
        <v>79</v>
      </c>
      <c r="B29" s="42">
        <f>B28</f>
        <v>-15000</v>
      </c>
      <c r="C29" s="42">
        <f>C28*(1.1)^-1</f>
        <v>-22317.916252612842</v>
      </c>
      <c r="D29" s="42">
        <f>D28*(1.1)^-2</f>
        <v>-21165.147517390276</v>
      </c>
      <c r="E29" s="42">
        <f>E28*(1.1)^-3</f>
        <v>66128.056835987634</v>
      </c>
    </row>
    <row r="30" spans="1:11" x14ac:dyDescent="0.25">
      <c r="A30" s="41" t="s">
        <v>80</v>
      </c>
      <c r="B30" s="44">
        <f>SUM(B29:E29)</f>
        <v>7644.9930659845122</v>
      </c>
      <c r="G30" s="14"/>
    </row>
    <row r="32" spans="1:11" ht="23.25" x14ac:dyDescent="0.35">
      <c r="A32" s="51" t="s">
        <v>85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5" x14ac:dyDescent="0.25">
      <c r="A33" s="5" t="s">
        <v>27</v>
      </c>
      <c r="B33" s="6">
        <v>1</v>
      </c>
      <c r="C33" s="6">
        <v>2</v>
      </c>
      <c r="D33" s="6">
        <v>3</v>
      </c>
    </row>
    <row r="34" spans="1:5" x14ac:dyDescent="0.25">
      <c r="A34" s="5" t="s">
        <v>68</v>
      </c>
      <c r="B34" s="32">
        <v>125000</v>
      </c>
      <c r="C34" s="32">
        <v>150000</v>
      </c>
      <c r="D34" s="32">
        <v>165000</v>
      </c>
    </row>
    <row r="35" spans="1:5" x14ac:dyDescent="0.25">
      <c r="A35" s="5" t="s">
        <v>1</v>
      </c>
      <c r="B35" s="32">
        <v>65000</v>
      </c>
      <c r="C35" s="32">
        <v>90000</v>
      </c>
      <c r="D35" s="32">
        <v>102000</v>
      </c>
    </row>
    <row r="36" spans="1:5" x14ac:dyDescent="0.25">
      <c r="A36" s="5" t="s">
        <v>60</v>
      </c>
      <c r="B36" s="32">
        <v>60000</v>
      </c>
      <c r="C36" s="32">
        <v>50000</v>
      </c>
      <c r="D36" s="32">
        <v>50000</v>
      </c>
    </row>
    <row r="37" spans="1:5" x14ac:dyDescent="0.25">
      <c r="A37" s="5" t="s">
        <v>69</v>
      </c>
      <c r="B37" s="33">
        <f>B34-SUM(B35:B36)</f>
        <v>0</v>
      </c>
      <c r="C37" s="33">
        <f>C34-SUM(C35:C36)</f>
        <v>10000</v>
      </c>
      <c r="D37" s="33">
        <f>D34-SUM(D35:D36)</f>
        <v>13000</v>
      </c>
    </row>
    <row r="38" spans="1:5" x14ac:dyDescent="0.25">
      <c r="A38" s="5" t="s">
        <v>70</v>
      </c>
      <c r="B38" s="33">
        <f>B37*0.25</f>
        <v>0</v>
      </c>
      <c r="C38" s="33">
        <f t="shared" ref="C38:D38" si="9">C37*0.25</f>
        <v>2500</v>
      </c>
      <c r="D38" s="33">
        <f t="shared" si="9"/>
        <v>3250</v>
      </c>
    </row>
    <row r="39" spans="1:5" x14ac:dyDescent="0.25">
      <c r="A39" s="5" t="s">
        <v>71</v>
      </c>
      <c r="B39" s="33">
        <f>B37-B38</f>
        <v>0</v>
      </c>
      <c r="C39" s="33">
        <f t="shared" ref="C39:D39" si="10">C37-C38</f>
        <v>7500</v>
      </c>
      <c r="D39" s="33">
        <f t="shared" si="10"/>
        <v>9750</v>
      </c>
    </row>
    <row r="40" spans="1:5" x14ac:dyDescent="0.25">
      <c r="A40" s="41" t="s">
        <v>3</v>
      </c>
      <c r="B40" s="44">
        <f>B39</f>
        <v>0</v>
      </c>
      <c r="C40" s="44">
        <f t="shared" ref="C40:D40" si="11">C39</f>
        <v>7500</v>
      </c>
      <c r="D40" s="44">
        <f t="shared" si="11"/>
        <v>9750</v>
      </c>
    </row>
    <row r="43" spans="1:5" x14ac:dyDescent="0.25">
      <c r="A43" s="5" t="s">
        <v>27</v>
      </c>
      <c r="B43" s="6">
        <v>0</v>
      </c>
      <c r="C43" s="6">
        <v>1</v>
      </c>
      <c r="D43" s="6">
        <v>2</v>
      </c>
      <c r="E43" s="6">
        <v>3</v>
      </c>
    </row>
    <row r="44" spans="1:5" x14ac:dyDescent="0.25">
      <c r="A44" s="5" t="s">
        <v>73</v>
      </c>
      <c r="B44" s="5"/>
      <c r="C44" s="32"/>
      <c r="D44" s="32"/>
      <c r="E44" s="32"/>
    </row>
    <row r="45" spans="1:5" x14ac:dyDescent="0.25">
      <c r="A45" s="5" t="s">
        <v>3</v>
      </c>
      <c r="B45" s="32"/>
      <c r="C45" s="32">
        <f>B40</f>
        <v>0</v>
      </c>
      <c r="D45" s="32">
        <f t="shared" ref="D45:E45" si="12">C40</f>
        <v>7500</v>
      </c>
      <c r="E45" s="32">
        <f t="shared" si="12"/>
        <v>9750</v>
      </c>
    </row>
    <row r="46" spans="1:5" x14ac:dyDescent="0.25">
      <c r="A46" s="5" t="s">
        <v>46</v>
      </c>
      <c r="B46" s="32">
        <f>G31</f>
        <v>0</v>
      </c>
      <c r="C46" s="32"/>
      <c r="D46" s="32"/>
      <c r="E46" s="32"/>
    </row>
    <row r="47" spans="1:5" x14ac:dyDescent="0.25">
      <c r="A47" s="5" t="s">
        <v>75</v>
      </c>
      <c r="B47" s="32"/>
      <c r="C47" s="32"/>
      <c r="D47" s="32"/>
      <c r="E47" s="32">
        <v>15000</v>
      </c>
    </row>
    <row r="48" spans="1:5" x14ac:dyDescent="0.25">
      <c r="A48" s="5" t="s">
        <v>81</v>
      </c>
      <c r="B48" s="32"/>
      <c r="C48" s="32"/>
      <c r="D48" s="32"/>
      <c r="E48" s="32">
        <v>20000</v>
      </c>
    </row>
    <row r="49" spans="1:5" x14ac:dyDescent="0.25">
      <c r="A49" s="5" t="s">
        <v>2</v>
      </c>
      <c r="B49" s="32">
        <f>SUM(B45:B47)</f>
        <v>0</v>
      </c>
      <c r="C49" s="32">
        <f>SUM(C45:C48)</f>
        <v>0</v>
      </c>
      <c r="D49" s="32">
        <f t="shared" ref="D49:E49" si="13">SUM(D45:D48)</f>
        <v>7500</v>
      </c>
      <c r="E49" s="32">
        <f t="shared" si="13"/>
        <v>44750</v>
      </c>
    </row>
    <row r="50" spans="1:5" x14ac:dyDescent="0.25">
      <c r="A50" s="5" t="s">
        <v>82</v>
      </c>
      <c r="B50" s="32">
        <v>20000</v>
      </c>
      <c r="C50" s="32"/>
      <c r="D50" s="32"/>
      <c r="E50" s="32"/>
    </row>
    <row r="51" spans="1:5" x14ac:dyDescent="0.25">
      <c r="A51" s="5" t="s">
        <v>72</v>
      </c>
      <c r="B51" s="32">
        <v>15000</v>
      </c>
      <c r="C51" s="32"/>
      <c r="D51" s="32"/>
      <c r="E51" s="32"/>
    </row>
    <row r="52" spans="1:5" x14ac:dyDescent="0.25">
      <c r="A52" s="5" t="s">
        <v>77</v>
      </c>
      <c r="B52" s="32">
        <f>SUM(B50:B51)</f>
        <v>35000</v>
      </c>
      <c r="C52" s="32">
        <f>SUM(C51:C51)</f>
        <v>0</v>
      </c>
      <c r="D52" s="32">
        <f>SUM(D51:D51)</f>
        <v>0</v>
      </c>
      <c r="E52" s="32">
        <f>SUM(E51:E51)</f>
        <v>0</v>
      </c>
    </row>
    <row r="53" spans="1:5" x14ac:dyDescent="0.25">
      <c r="A53" s="41" t="s">
        <v>78</v>
      </c>
      <c r="B53" s="42">
        <f>B49-B52</f>
        <v>-35000</v>
      </c>
      <c r="C53" s="42">
        <f>C49-C52</f>
        <v>0</v>
      </c>
      <c r="D53" s="42">
        <f>D49-D52</f>
        <v>7500</v>
      </c>
      <c r="E53" s="42">
        <f>E49-E52</f>
        <v>44750</v>
      </c>
    </row>
    <row r="54" spans="1:5" x14ac:dyDescent="0.25">
      <c r="A54" s="41" t="s">
        <v>79</v>
      </c>
      <c r="B54" s="42">
        <f>B53</f>
        <v>-35000</v>
      </c>
      <c r="C54" s="42">
        <f>C53*(1.1)^-1</f>
        <v>0</v>
      </c>
      <c r="D54" s="42">
        <f>D53*(1.1)^-2</f>
        <v>6198.3471074380159</v>
      </c>
      <c r="E54" s="42">
        <f>E53*(1.1)^-3</f>
        <v>33621.337340345592</v>
      </c>
    </row>
    <row r="55" spans="1:5" x14ac:dyDescent="0.25">
      <c r="A55" s="41" t="s">
        <v>80</v>
      </c>
      <c r="B55" s="44">
        <f>SUM(B54:E54)</f>
        <v>4819.6844477836057</v>
      </c>
    </row>
    <row r="56" spans="1:5" x14ac:dyDescent="0.25">
      <c r="C56" s="14"/>
    </row>
  </sheetData>
  <mergeCells count="2">
    <mergeCell ref="A1:K1"/>
    <mergeCell ref="A32:K3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8" ma:contentTypeDescription="Crée un document." ma:contentTypeScope="" ma:versionID="085791daa2454e479a0cbb291e9a901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7ec6f0850911c03cb057cc211887cfd7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F3C2A8-2350-45FA-A8B6-F1C39DD53F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2F30AC-EA45-4945-8305-1A58B3D1E1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7755E5-9752-4109-9296-AE222B324EAD}">
  <ds:schemaRefs>
    <ds:schemaRef ds:uri="http://schemas.openxmlformats.org/package/2006/metadata/core-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Exercice 1</vt:lpstr>
      <vt:lpstr>Exercice 2</vt:lpstr>
      <vt:lpstr>Exercice 3</vt:lpstr>
      <vt:lpstr>Exercice 4</vt:lpstr>
      <vt:lpstr>Exercice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2022-07-21T15:30:40Z</dcterms:created>
  <dcterms:modified xsi:type="dcterms:W3CDTF">2022-08-01T09:17:13Z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0x01010021529F2146C75048A695AB3F03D98EF9</vt:lpwstr>
  </property>
</Properties>
</file>