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1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.noel\OneDrive - Universite Evry Val d'Essonne\BUT\Cours BUT\Cours BUT 3\CG2P\R6 CG2P 07\"/>
    </mc:Choice>
  </mc:AlternateContent>
  <xr:revisionPtr revIDLastSave="3" documentId="14_{F788BEA0-A7E5-452A-85D0-59A15E5B61CB}" xr6:coauthVersionLast="36" xr6:coauthVersionMax="36" xr10:uidLastSave="{11499F7A-55E1-4AB1-B974-ED881510B862}"/>
  <bookViews>
    <workbookView xWindow="0" yWindow="0" windowWidth="23040" windowHeight="9396" activeTab="5" xr2:uid="{00000000-000D-0000-FFFF-FFFF00000000}"/>
  </bookViews>
  <sheets>
    <sheet name="Cours" sheetId="2" r:id="rId1"/>
    <sheet name="Exo 1" sheetId="1" r:id="rId2"/>
    <sheet name="Exo 2" sheetId="7" r:id="rId3"/>
    <sheet name="Exo 3 " sheetId="3" r:id="rId4"/>
    <sheet name="Oussama" sheetId="10" r:id="rId5"/>
    <sheet name="Exo 4" sheetId="9" r:id="rId6"/>
    <sheet name="Exo 5 bis" sheetId="8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9" l="1"/>
  <c r="E22" i="9"/>
  <c r="C18" i="9"/>
  <c r="B18" i="9"/>
  <c r="G9" i="9"/>
  <c r="C9" i="9"/>
  <c r="C5" i="9"/>
  <c r="C10" i="9" s="1"/>
  <c r="C11" i="9" s="1"/>
  <c r="B5" i="9"/>
  <c r="B10" i="9" s="1"/>
  <c r="B11" i="9" s="1"/>
  <c r="G10" i="9" l="1"/>
  <c r="G11" i="9" s="1"/>
  <c r="G21" i="10"/>
  <c r="H21" i="10"/>
  <c r="H19" i="10"/>
  <c r="H6" i="10"/>
  <c r="H7" i="10" s="1"/>
  <c r="H8" i="10" s="1"/>
  <c r="H9" i="10" s="1"/>
  <c r="H10" i="10" s="1"/>
  <c r="H11" i="10" s="1"/>
  <c r="H12" i="10" s="1"/>
  <c r="H13" i="10" s="1"/>
  <c r="H14" i="10" s="1"/>
  <c r="H15" i="10" s="1"/>
  <c r="H16" i="10" s="1"/>
  <c r="H17" i="10" s="1"/>
  <c r="G12" i="10"/>
  <c r="G6" i="10"/>
  <c r="G7" i="10" s="1"/>
  <c r="G8" i="10" s="1"/>
  <c r="G9" i="10" s="1"/>
  <c r="G10" i="10" s="1"/>
  <c r="G11" i="10" s="1"/>
  <c r="C21" i="10"/>
  <c r="B21" i="10"/>
  <c r="C2" i="10"/>
  <c r="B2" i="10"/>
  <c r="C19" i="10"/>
  <c r="B19" i="10"/>
  <c r="B14" i="10"/>
  <c r="B15" i="10" s="1"/>
  <c r="B16" i="10" s="1"/>
  <c r="B17" i="10" s="1"/>
  <c r="B13" i="10"/>
  <c r="B12" i="10"/>
  <c r="B8" i="10"/>
  <c r="B9" i="10"/>
  <c r="B10" i="10" s="1"/>
  <c r="B11" i="10" s="1"/>
  <c r="B7" i="10"/>
  <c r="C8" i="10"/>
  <c r="C9" i="10" s="1"/>
  <c r="C10" i="10" s="1"/>
  <c r="C11" i="10" s="1"/>
  <c r="C12" i="10" s="1"/>
  <c r="C13" i="10" s="1"/>
  <c r="C14" i="10" s="1"/>
  <c r="C15" i="10" s="1"/>
  <c r="C16" i="10" s="1"/>
  <c r="C17" i="10" s="1"/>
  <c r="C7" i="10"/>
  <c r="C6" i="10"/>
  <c r="B6" i="10"/>
  <c r="G13" i="10" l="1"/>
  <c r="C4" i="9"/>
  <c r="C22" i="9" s="1"/>
  <c r="B4" i="9"/>
  <c r="B9" i="9" s="1"/>
  <c r="B17" i="9" s="1"/>
  <c r="C17" i="9" l="1"/>
  <c r="B22" i="9"/>
  <c r="G14" i="10"/>
  <c r="G15" i="10" s="1"/>
  <c r="G16" i="10" s="1"/>
  <c r="G17" i="10" s="1"/>
  <c r="B23" i="8"/>
  <c r="B26" i="8" s="1"/>
  <c r="D22" i="8"/>
  <c r="B22" i="8"/>
  <c r="D21" i="8"/>
  <c r="D14" i="8"/>
  <c r="B14" i="8"/>
  <c r="B15" i="8" s="1"/>
  <c r="F6" i="8"/>
  <c r="G6" i="8" s="1"/>
  <c r="E6" i="8"/>
  <c r="D6" i="8"/>
  <c r="B6" i="8"/>
  <c r="C6" i="8" s="1"/>
  <c r="D5" i="8"/>
  <c r="F5" i="8" s="1"/>
  <c r="G5" i="8" s="1"/>
  <c r="C5" i="8"/>
  <c r="B5" i="8"/>
  <c r="G19" i="10" l="1"/>
  <c r="B27" i="8"/>
  <c r="D27" i="8" s="1"/>
  <c r="D26" i="8"/>
  <c r="E5" i="8"/>
  <c r="D47" i="7" l="1"/>
  <c r="C47" i="7"/>
  <c r="B47" i="7"/>
  <c r="B46" i="7"/>
  <c r="D45" i="7"/>
  <c r="C45" i="7"/>
  <c r="B45" i="7"/>
  <c r="D43" i="7"/>
  <c r="C43" i="7"/>
  <c r="B43" i="7"/>
  <c r="C42" i="7"/>
  <c r="F15" i="7"/>
  <c r="D30" i="7" s="1"/>
  <c r="D15" i="7"/>
  <c r="C30" i="7" s="1"/>
  <c r="B15" i="7"/>
  <c r="B30" i="7" s="1"/>
  <c r="J14" i="7"/>
  <c r="J15" i="7" s="1"/>
  <c r="I14" i="7"/>
  <c r="J13" i="7"/>
  <c r="I13" i="7"/>
  <c r="J12" i="7"/>
  <c r="I12" i="7"/>
  <c r="F8" i="7"/>
  <c r="I8" i="7" s="1"/>
  <c r="D8" i="7"/>
  <c r="B8" i="7"/>
  <c r="I7" i="7"/>
  <c r="G7" i="7"/>
  <c r="D46" i="7" s="1"/>
  <c r="E7" i="7"/>
  <c r="C29" i="7" s="1"/>
  <c r="C31" i="7" s="1"/>
  <c r="J6" i="7"/>
  <c r="I6" i="7"/>
  <c r="G6" i="7"/>
  <c r="D44" i="7" s="1"/>
  <c r="E6" i="7"/>
  <c r="C44" i="7" s="1"/>
  <c r="C6" i="7"/>
  <c r="B44" i="7" s="1"/>
  <c r="I5" i="7"/>
  <c r="G5" i="7"/>
  <c r="D42" i="7" s="1"/>
  <c r="D48" i="7" s="1"/>
  <c r="E5" i="7"/>
  <c r="C5" i="7"/>
  <c r="B29" i="7" s="1"/>
  <c r="B31" i="7" l="1"/>
  <c r="C48" i="7"/>
  <c r="J5" i="7"/>
  <c r="J8" i="7" s="1"/>
  <c r="K8" i="7" s="1"/>
  <c r="C46" i="7"/>
  <c r="J7" i="7"/>
  <c r="I15" i="7"/>
  <c r="D29" i="7"/>
  <c r="D31" i="7" s="1"/>
  <c r="B42" i="7"/>
  <c r="B48" i="7" s="1"/>
  <c r="E31" i="7" l="1"/>
  <c r="E48" i="7"/>
  <c r="B24" i="7"/>
  <c r="B34" i="7" s="1"/>
  <c r="B21" i="7"/>
  <c r="B55" i="7" s="1"/>
  <c r="B56" i="7" l="1"/>
  <c r="B52" i="7"/>
  <c r="B59" i="7" s="1"/>
  <c r="B51" i="7"/>
  <c r="B58" i="7" s="1"/>
  <c r="B35" i="7"/>
  <c r="B57" i="7" s="1"/>
  <c r="B36" i="7"/>
  <c r="B37" i="7" l="1"/>
  <c r="D22" i="3" l="1"/>
  <c r="C9" i="3"/>
  <c r="B9" i="3"/>
  <c r="D23" i="3" l="1"/>
  <c r="D24" i="3" s="1"/>
  <c r="D25" i="3" s="1"/>
  <c r="D26" i="3" s="1"/>
  <c r="D27" i="3" s="1"/>
  <c r="D28" i="3" s="1"/>
  <c r="D29" i="3" s="1"/>
  <c r="D30" i="3" s="1"/>
  <c r="D31" i="3" s="1"/>
  <c r="D32" i="3" s="1"/>
  <c r="D33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D34" i="3" l="1"/>
  <c r="E34" i="3" l="1"/>
  <c r="F34" i="3" s="1"/>
  <c r="C33" i="2" l="1"/>
  <c r="D33" i="2"/>
  <c r="E33" i="2"/>
  <c r="F33" i="2" s="1"/>
  <c r="B33" i="2"/>
  <c r="G30" i="1" l="1"/>
  <c r="G28" i="1"/>
  <c r="A27" i="2"/>
  <c r="C10" i="3" l="1"/>
  <c r="C4" i="3"/>
  <c r="E28" i="1" l="1"/>
  <c r="F24" i="2"/>
  <c r="C12" i="2"/>
  <c r="D12" i="2"/>
  <c r="E12" i="2"/>
  <c r="B12" i="2"/>
  <c r="F12" i="2" s="1"/>
  <c r="C11" i="2"/>
  <c r="D11" i="2"/>
  <c r="E11" i="2"/>
  <c r="B11" i="2"/>
  <c r="F23" i="2" l="1"/>
  <c r="B20" i="2"/>
  <c r="F19" i="2"/>
  <c r="B15" i="2"/>
  <c r="C11" i="3" l="1"/>
  <c r="C5" i="3"/>
  <c r="B26" i="1" l="1"/>
  <c r="C17" i="3" l="1"/>
  <c r="C16" i="3"/>
  <c r="B17" i="3"/>
  <c r="B16" i="3"/>
  <c r="C26" i="1"/>
  <c r="E26" i="1" s="1"/>
  <c r="D26" i="1"/>
  <c r="C15" i="1"/>
  <c r="D15" i="1"/>
  <c r="B15" i="1"/>
  <c r="C14" i="1"/>
  <c r="D14" i="1"/>
  <c r="B14" i="1"/>
  <c r="E20" i="2"/>
  <c r="D20" i="2"/>
  <c r="C20" i="2"/>
  <c r="F20" i="2" s="1"/>
  <c r="B16" i="2"/>
  <c r="E16" i="2"/>
  <c r="D16" i="2"/>
  <c r="C16" i="2"/>
  <c r="E15" i="2"/>
  <c r="D15" i="2"/>
  <c r="C15" i="2"/>
  <c r="F7" i="2"/>
  <c r="E8" i="2" s="1"/>
  <c r="F5" i="2"/>
  <c r="D6" i="2" s="1"/>
  <c r="C13" i="1"/>
  <c r="D13" i="1"/>
  <c r="B13" i="1"/>
  <c r="E7" i="1"/>
  <c r="E5" i="1"/>
  <c r="C6" i="2" l="1"/>
  <c r="F9" i="2"/>
  <c r="B6" i="2"/>
  <c r="F10" i="2"/>
  <c r="E17" i="2"/>
  <c r="D16" i="3"/>
  <c r="D17" i="3"/>
  <c r="B17" i="2"/>
  <c r="E6" i="2"/>
  <c r="C17" i="2"/>
  <c r="F16" i="2"/>
  <c r="B8" i="2"/>
  <c r="F15" i="2"/>
  <c r="D17" i="2"/>
  <c r="C8" i="2"/>
  <c r="D8" i="2"/>
  <c r="E14" i="1"/>
  <c r="A10" i="1" s="1"/>
  <c r="E25" i="1" s="1"/>
  <c r="E29" i="1" s="1"/>
  <c r="D16" i="1"/>
  <c r="E15" i="1"/>
  <c r="E30" i="1" s="1"/>
  <c r="B16" i="1"/>
  <c r="C16" i="1"/>
  <c r="F22" i="2" l="1"/>
  <c r="B1" i="2"/>
  <c r="F17" i="2"/>
  <c r="C25" i="2"/>
  <c r="B25" i="2"/>
  <c r="E16" i="1"/>
  <c r="B31" i="1" l="1"/>
  <c r="E25" i="2"/>
  <c r="D25" i="2"/>
  <c r="C31" i="1"/>
  <c r="D31" i="1"/>
  <c r="F25" i="2" l="1"/>
  <c r="E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Eric</author>
    <author>ERIC</author>
  </authors>
  <commentList>
    <comment ref="B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2023500 / 96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12 * 31500 = 378 000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9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Effectif N * Salaire moyen global de N-1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9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21078,13*105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0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Effectif N * Salaire moyen N-1 par catégorie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0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15 * 31500 = 472 500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2" authorId="1" shapeId="0" xr:uid="{00000000-0006-0000-0000-000007000000}">
      <text>
        <r>
          <rPr>
            <sz val="9"/>
            <color indexed="81"/>
            <rFont val="Tahoma"/>
            <family val="2"/>
          </rPr>
          <t xml:space="preserve">MS SALAIRE CONSTANT - MS N-1
</t>
        </r>
      </text>
    </comment>
    <comment ref="B22" authorId="1" shapeId="0" xr:uid="{00000000-0006-0000-0000-000008000000}">
      <text>
        <r>
          <rPr>
            <b/>
            <sz val="9"/>
            <color indexed="81"/>
            <rFont val="Tahoma"/>
            <family val="2"/>
          </rPr>
          <t>(21078,13-31500)*15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2" authorId="1" shapeId="0" xr:uid="{00000000-0006-0000-0000-000009000000}">
      <text>
        <r>
          <rPr>
            <b/>
            <sz val="9"/>
            <color indexed="81"/>
            <rFont val="Tahoma"/>
            <family val="2"/>
          </rPr>
          <t>(105-96)*21078,13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3" authorId="1" shapeId="0" xr:uid="{00000000-0006-0000-0000-00000A000000}">
      <text>
        <r>
          <rPr>
            <b/>
            <sz val="9"/>
            <color indexed="81"/>
            <rFont val="Tahoma"/>
            <family val="2"/>
          </rPr>
          <t>MS STRUCTURE CONSTANTE - MS SALAIRE CONSTANTE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3" authorId="1" shapeId="0" xr:uid="{00000000-0006-0000-0000-00000B000000}">
      <text>
        <r>
          <rPr>
            <b/>
            <sz val="9"/>
            <color indexed="81"/>
            <rFont val="Tahoma"/>
            <family val="2"/>
          </rPr>
          <t>(31500-21078,13)*15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3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2 277 900 - 2 213 203,65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4" authorId="1" shapeId="0" xr:uid="{00000000-0006-0000-0000-00000D000000}">
      <text>
        <r>
          <rPr>
            <sz val="9"/>
            <color indexed="81"/>
            <rFont val="Tahoma"/>
            <family val="2"/>
          </rPr>
          <t xml:space="preserve">MS N - MS STRUCTURE CONSTANTE
</t>
        </r>
      </text>
    </comment>
    <comment ref="B24" authorId="1" shapeId="0" xr:uid="{00000000-0006-0000-0000-00000E000000}">
      <text>
        <r>
          <rPr>
            <b/>
            <sz val="9"/>
            <color indexed="81"/>
            <rFont val="Tahoma"/>
            <family val="2"/>
          </rPr>
          <t>(SALAIRE MOYEN N- SALAIRE MOYEN N-1) * EFFECTIF DE N
(32000-31500)*15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4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=2306000-2277900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Eric</author>
    <author>ERIC</author>
  </authors>
  <commentList>
    <comment ref="A10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3 204 000 / 100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5" authorId="1" shapeId="0" xr:uid="{00000000-0006-0000-0300-000002000000}">
      <text>
        <r>
          <rPr>
            <b/>
            <sz val="9"/>
            <color indexed="81"/>
            <rFont val="Tahoma"/>
            <family val="2"/>
          </rPr>
          <t>Effectif N * Salaire moyen global de N-1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5" authorId="0" shapeId="0" xr:uid="{00000000-0006-0000-0300-000003000000}">
      <text>
        <r>
          <rPr>
            <b/>
            <sz val="14"/>
            <color indexed="81"/>
            <rFont val="Tahoma"/>
            <family val="2"/>
          </rPr>
          <t>102*32040</t>
        </r>
        <r>
          <rPr>
            <sz val="14"/>
            <color indexed="81"/>
            <rFont val="Tahoma"/>
            <family val="2"/>
          </rPr>
          <t xml:space="preserve">
</t>
        </r>
      </text>
    </comment>
    <comment ref="A26" authorId="1" shapeId="0" xr:uid="{00000000-0006-0000-0300-000004000000}">
      <text>
        <r>
          <rPr>
            <b/>
            <sz val="9"/>
            <color indexed="81"/>
            <rFont val="Tahoma"/>
            <family val="2"/>
          </rPr>
          <t xml:space="preserve">Effectif N par catégorie* Salaire moyen N-1 par catégorie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6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27*30000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8" authorId="1" shapeId="0" xr:uid="{00000000-0006-0000-0300-000006000000}">
      <text>
        <r>
          <rPr>
            <sz val="9"/>
            <color indexed="81"/>
            <rFont val="Tahoma"/>
            <family val="2"/>
          </rPr>
          <t xml:space="preserve">MS SALAIRE CONSTANT - MS N-1
</t>
        </r>
      </text>
    </comment>
    <comment ref="E28" authorId="0" shapeId="0" xr:uid="{00000000-0006-0000-0300-000007000000}">
      <text>
        <r>
          <rPr>
            <b/>
            <sz val="9"/>
            <color indexed="81"/>
            <rFont val="Tahoma"/>
            <family val="2"/>
          </rPr>
          <t>(102-100) * 32040
ou
3 268 080 - 3 204 000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9" authorId="1" shapeId="0" xr:uid="{00000000-0006-0000-0300-000008000000}">
      <text>
        <r>
          <rPr>
            <b/>
            <sz val="9"/>
            <color indexed="81"/>
            <rFont val="Tahoma"/>
            <family val="2"/>
          </rPr>
          <t>MS STRUCTURE CONSTANTE - MS SALAIRE CONSTANTE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9" authorId="0" shapeId="0" xr:uid="{00000000-0006-0000-0300-000009000000}">
      <text>
        <r>
          <rPr>
            <b/>
            <sz val="9"/>
            <color indexed="81"/>
            <rFont val="Tahoma"/>
            <family val="2"/>
          </rPr>
          <t>3 174 000 - 3 268 080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0" authorId="1" shapeId="0" xr:uid="{00000000-0006-0000-0300-00000A000000}">
      <text>
        <r>
          <rPr>
            <sz val="9"/>
            <color indexed="81"/>
            <rFont val="Tahoma"/>
            <family val="2"/>
          </rPr>
          <t xml:space="preserve">MS N - MS STRUCTURE CONSTANTE
</t>
        </r>
      </text>
    </comment>
    <comment ref="E30" authorId="0" shapeId="0" xr:uid="{00000000-0006-0000-0300-00000B000000}">
      <text>
        <r>
          <rPr>
            <b/>
            <sz val="9"/>
            <color indexed="81"/>
            <rFont val="Tahoma"/>
            <family val="2"/>
          </rPr>
          <t>3 274 700 - 3 174 000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Eric</author>
  </authors>
  <commentList>
    <comment ref="C4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100
100 * 1,03 =&gt; 103
103 * 1,02 =&gt; 105,06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0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 xml:space="preserve">01/01 - 30/06 (6 mois)
100*1,03 =&gt; 103 </t>
        </r>
        <r>
          <rPr>
            <sz val="9"/>
            <color indexed="81"/>
            <rFont val="Tahoma"/>
            <family val="2"/>
          </rPr>
          <t xml:space="preserve">
01/07 - 31/12 (6 mois)
103 * 1,02 =&gt; 105,06
(103*6)+(105,6*6) = 1248,36/(12)
104,03</t>
        </r>
      </text>
    </comment>
    <comment ref="D16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105,06/104,03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Eric</author>
  </authors>
  <commentList>
    <comment ref="B4" authorId="0" shapeId="0" xr:uid="{14BD42C4-EB92-4FC5-8147-DE1F51A8694B}">
      <text>
        <r>
          <rPr>
            <b/>
            <sz val="9"/>
            <color indexed="81"/>
            <rFont val="Tahoma"/>
            <charset val="1"/>
          </rPr>
          <t>1800 * 1,03 --&gt; 1854€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4" authorId="0" shapeId="0" xr:uid="{A242C51B-9D03-495B-848A-3D22E852AAFB}">
      <text>
        <r>
          <rPr>
            <b/>
            <sz val="9"/>
            <color indexed="81"/>
            <rFont val="Tahoma"/>
            <charset val="1"/>
          </rPr>
          <t>1800 * 1,01 * 1,025 --&gt;   1863,45€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5" authorId="0" shapeId="0" xr:uid="{E5EB2172-F7E0-4F39-AC80-6B25A62D8017}">
      <text>
        <r>
          <rPr>
            <b/>
            <sz val="9"/>
            <color indexed="81"/>
            <rFont val="Tahoma"/>
            <charset val="1"/>
          </rPr>
          <t>=(1800*5)+(1854*7)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5" authorId="0" shapeId="0" xr:uid="{E577B550-D157-4347-8535-3EDD4AC02224}">
      <text>
        <r>
          <rPr>
            <b/>
            <sz val="9"/>
            <color indexed="81"/>
            <rFont val="Tahoma"/>
            <charset val="1"/>
          </rPr>
          <t>=(1818*10)+(1863,45*2)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Eric</author>
  </authors>
  <commentList>
    <comment ref="B5" authorId="0" shapeId="0" xr:uid="{257723E9-549A-4E55-BF35-3F8FF98CE0F9}">
      <text>
        <r>
          <rPr>
            <b/>
            <sz val="9"/>
            <color indexed="81"/>
            <rFont val="Tahoma"/>
            <family val="2"/>
          </rPr>
          <t>=100*1,01*1,0075/100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" authorId="0" shapeId="0" xr:uid="{47594E9E-F12A-43E8-834F-B99120DBF4BA}">
      <text>
        <r>
          <rPr>
            <b/>
            <sz val="9"/>
            <color indexed="81"/>
            <rFont val="Tahoma"/>
            <family val="2"/>
          </rPr>
          <t>=((100*6+100*4*1,01+(101*1,0075*2)))/1200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" authorId="0" shapeId="0" xr:uid="{C5A9362B-EE29-4053-A531-3149608B5E1A}">
      <text>
        <r>
          <rPr>
            <b/>
            <sz val="9"/>
            <color indexed="81"/>
            <rFont val="Tahoma"/>
            <family val="2"/>
          </rPr>
          <t>=100*1,0275*1,01/100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6" authorId="0" shapeId="0" xr:uid="{EA4A97AD-CEBA-4C77-AAB9-0E5A8455A911}">
      <text>
        <r>
          <rPr>
            <b/>
            <sz val="9"/>
            <color indexed="81"/>
            <rFont val="Tahoma"/>
            <family val="2"/>
          </rPr>
          <t>=((100*6+(100*1,0275*4)+(102,75*1,01*2)))/1200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<sst xmlns="http://schemas.openxmlformats.org/spreadsheetml/2006/main" count="244" uniqueCount="124">
  <si>
    <t>Salaire moyen N-1</t>
  </si>
  <si>
    <t>CADRES</t>
  </si>
  <si>
    <t>EMPLOYES</t>
  </si>
  <si>
    <t>TECHNICIENS</t>
  </si>
  <si>
    <t>OUVRIERS</t>
  </si>
  <si>
    <t>TOTAL</t>
  </si>
  <si>
    <t>Effectif N-1</t>
  </si>
  <si>
    <t>Effectif N</t>
  </si>
  <si>
    <t>Salaire moyen N</t>
  </si>
  <si>
    <t>MASSE SALARIALE N-1</t>
  </si>
  <si>
    <t>MASSE SALARIALE N</t>
  </si>
  <si>
    <t>ECART PAR CATEGORIE</t>
  </si>
  <si>
    <t>MASSE SALARIALE SALAIRE CONSTANT</t>
  </si>
  <si>
    <t>MASSE SALARIALE STRUCTURE CONSTANTE</t>
  </si>
  <si>
    <t>ECART SUR EFFECTIF</t>
  </si>
  <si>
    <t>ECART SUR SALAIRE</t>
  </si>
  <si>
    <t xml:space="preserve">ELECTRICIENS </t>
  </si>
  <si>
    <t>CARROSSIERS</t>
  </si>
  <si>
    <t>PEINTRES</t>
  </si>
  <si>
    <t>D</t>
  </si>
  <si>
    <t>ECART SUR COMPOSITION (ou structure)</t>
  </si>
  <si>
    <t>F</t>
  </si>
  <si>
    <t>Salle</t>
  </si>
  <si>
    <t>Autres salariés</t>
  </si>
  <si>
    <t>Effet de niveau</t>
  </si>
  <si>
    <t>+5,06%</t>
  </si>
  <si>
    <t>Effet de masse</t>
  </si>
  <si>
    <t>+4,03%</t>
  </si>
  <si>
    <t>Effet de report</t>
  </si>
  <si>
    <t>Augmentation liée à un effectif plus impotant en N (sans prendre en compte l'augmentation des salaires et la modification de la structure)</t>
  </si>
  <si>
    <t>Augmentation liée à une modification de la structure de l'effectif (sans prendre en compte les variations de salaires)</t>
  </si>
  <si>
    <t>Augmentation liée uniquement aux variations des salaires (sans tenir compte de l'effectif)</t>
  </si>
  <si>
    <t>ECART SUR STRUCTURE / COMPOSITION</t>
  </si>
  <si>
    <t>N-1</t>
  </si>
  <si>
    <t>Employés</t>
  </si>
  <si>
    <t>Cadre</t>
  </si>
  <si>
    <t>Défavorable</t>
  </si>
  <si>
    <t>Favorable</t>
  </si>
  <si>
    <t>N</t>
  </si>
  <si>
    <t>ECART ENTRE N ET N-1</t>
  </si>
  <si>
    <t>ECART TOTAL</t>
  </si>
  <si>
    <t>+3%</t>
  </si>
  <si>
    <t>N+1</t>
  </si>
  <si>
    <t>Indice début N+1</t>
  </si>
  <si>
    <t>Indice fin N+1</t>
  </si>
  <si>
    <t>Effet de report (effet de niveau / effet de masse)</t>
  </si>
  <si>
    <t>+3% au 1/01/N+1</t>
  </si>
  <si>
    <t>N+2</t>
  </si>
  <si>
    <t>Mois</t>
  </si>
  <si>
    <t>+2% au 1/7/N+1</t>
  </si>
  <si>
    <t>Salaire  Autres 31/12/N</t>
  </si>
  <si>
    <t>H1</t>
  </si>
  <si>
    <t>H2</t>
  </si>
  <si>
    <t>Agents de maitrise</t>
  </si>
  <si>
    <t>MASSE SALARIALE</t>
  </si>
  <si>
    <t>Cadres</t>
  </si>
  <si>
    <t>Nombre</t>
  </si>
  <si>
    <t>Salaire moyen annuel</t>
  </si>
  <si>
    <t>Salaire Moyen annuel</t>
  </si>
  <si>
    <t>Salaire Moyen</t>
  </si>
  <si>
    <t>Plus de 15 ans</t>
  </si>
  <si>
    <t>Entre 5 et 15 ans</t>
  </si>
  <si>
    <t>Moins de 5 ans</t>
  </si>
  <si>
    <t>Ecart / M. Salariale</t>
  </si>
  <si>
    <t>DEF</t>
  </si>
  <si>
    <t>Masse salariale à salaire constant</t>
  </si>
  <si>
    <t>317*33 681,88€</t>
  </si>
  <si>
    <t>Masse salariale à structure constante</t>
  </si>
  <si>
    <t>Agent</t>
  </si>
  <si>
    <t>Effectif N+1</t>
  </si>
  <si>
    <t>Ecart / Effectif</t>
  </si>
  <si>
    <t>Ecart / Structure</t>
  </si>
  <si>
    <t>Ecart / Salaire</t>
  </si>
  <si>
    <t>Calcul de la masse salariale à ancienneté constante</t>
  </si>
  <si>
    <t>Ingénieur</t>
  </si>
  <si>
    <t>Salaire moyen N-1 &gt; 15ans</t>
  </si>
  <si>
    <t>Effectif N &gt; 15 ans</t>
  </si>
  <si>
    <t>Salaire moyen N-1 5/10</t>
  </si>
  <si>
    <t>Effectif N &gt; 5/10</t>
  </si>
  <si>
    <t>Salaire moyen N-1  &lt; 5 ans</t>
  </si>
  <si>
    <t>Effectif N &lt; 5 ans</t>
  </si>
  <si>
    <t>Ecart / taux nominal</t>
  </si>
  <si>
    <t>Ecart / ancienneté</t>
  </si>
  <si>
    <t>Augmentation en % entre N-1 et N</t>
  </si>
  <si>
    <t>Effet sur effectif</t>
  </si>
  <si>
    <t>Effet sur structure</t>
  </si>
  <si>
    <t>Effet de Taux</t>
  </si>
  <si>
    <t>Effet de Noria</t>
  </si>
  <si>
    <t>Indice</t>
  </si>
  <si>
    <t>% d'augmentation</t>
  </si>
  <si>
    <t>Non cadre</t>
  </si>
  <si>
    <t>EXPLICATION DES CADRES POUR N</t>
  </si>
  <si>
    <t>01/01 - 01/07</t>
  </si>
  <si>
    <t>6 mois</t>
  </si>
  <si>
    <t>1er semestre</t>
  </si>
  <si>
    <t>01/07-01/11</t>
  </si>
  <si>
    <t>4 mois</t>
  </si>
  <si>
    <t>2ème semestre</t>
  </si>
  <si>
    <t>01/11 - 31/12</t>
  </si>
  <si>
    <t>2 mois</t>
  </si>
  <si>
    <t>EXPLICATION DES NON CADRES POUR N</t>
  </si>
  <si>
    <t>EXPLICATION DES NON CADRES POUR N+1</t>
  </si>
  <si>
    <t>Salaire brut de décembre</t>
  </si>
  <si>
    <t>MS de l'année</t>
  </si>
  <si>
    <t>L'effet de report sera plus élevé avec l'hypothèse 2 donc pour l'année N+1 la MS de H2 sera &gt; MS de H1</t>
  </si>
  <si>
    <t>MS de N+1</t>
  </si>
  <si>
    <t>Salaire au 31/12/N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</si>
  <si>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</si>
  <si>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</si>
  <si>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</si>
  <si>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</si>
  <si>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</si>
  <si>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</si>
  <si>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</si>
  <si>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</si>
  <si>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</si>
  <si>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</si>
  <si>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</si>
  <si>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</si>
  <si>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Autres</t>
  </si>
  <si>
    <t>MS N+1</t>
  </si>
  <si>
    <t xml:space="preserve">Masse salariale la plus faible en N : </t>
  </si>
  <si>
    <t>Salaire moyen mensuel</t>
  </si>
  <si>
    <t>MS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</si>
</sst>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  <numFmt numFmtId="165" formatCode="0.00000"/>
    <numFmt numFmtId="166" formatCode="0.0000%"/>
    <numFmt numFmtId="167" formatCode="0.00000%"/>
    <numFmt numFmtId="168" formatCode="0.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indexed="81"/>
      <name val="Tahoma"/>
      <family val="2"/>
    </font>
    <font>
      <sz val="14"/>
      <color indexed="81"/>
      <name val="Tahoma"/>
      <family val="2"/>
    </font>
    <font>
      <sz val="12"/>
      <color rgb="FF3F4C55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2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3">
    <xf numFmtId="0" fontId="0" fillId="0" borderId="0" xfId="0"/>
    <xf numFmtId="44" fontId="0" fillId="2" borderId="0" xfId="1" applyFont="1" applyFill="1"/>
    <xf numFmtId="44" fontId="0" fillId="2" borderId="0" xfId="0" applyNumberFormat="1" applyFill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44" fontId="0" fillId="0" borderId="0" xfId="1" applyFont="1"/>
    <xf numFmtId="44" fontId="0" fillId="0" borderId="1" xfId="1" applyFont="1" applyBorder="1" applyAlignment="1">
      <alignment horizontal="center"/>
    </xf>
    <xf numFmtId="44" fontId="0" fillId="0" borderId="0" xfId="0" applyNumberFormat="1"/>
    <xf numFmtId="0" fontId="0" fillId="0" borderId="1" xfId="0" applyBorder="1"/>
    <xf numFmtId="44" fontId="0" fillId="0" borderId="1" xfId="1" applyFont="1" applyBorder="1"/>
    <xf numFmtId="44" fontId="0" fillId="3" borderId="1" xfId="1" applyFont="1" applyFill="1" applyBorder="1"/>
    <xf numFmtId="44" fontId="4" fillId="4" borderId="1" xfId="1" applyFont="1" applyFill="1" applyBorder="1"/>
    <xf numFmtId="0" fontId="3" fillId="4" borderId="1" xfId="0" applyFont="1" applyFill="1" applyBorder="1"/>
    <xf numFmtId="0" fontId="0" fillId="2" borderId="1" xfId="0" applyFill="1" applyBorder="1"/>
    <xf numFmtId="44" fontId="4" fillId="2" borderId="1" xfId="0" applyNumberFormat="1" applyFont="1" applyFill="1" applyBorder="1"/>
    <xf numFmtId="44" fontId="4" fillId="4" borderId="1" xfId="0" applyNumberFormat="1" applyFont="1" applyFill="1" applyBorder="1"/>
    <xf numFmtId="44" fontId="4" fillId="3" borderId="1" xfId="0" applyNumberFormat="1" applyFont="1" applyFill="1" applyBorder="1"/>
    <xf numFmtId="44" fontId="3" fillId="4" borderId="1" xfId="0" applyNumberFormat="1" applyFont="1" applyFill="1" applyBorder="1"/>
    <xf numFmtId="44" fontId="5" fillId="4" borderId="1" xfId="0" applyNumberFormat="1" applyFont="1" applyFill="1" applyBorder="1"/>
    <xf numFmtId="44" fontId="0" fillId="0" borderId="0" xfId="1" applyFont="1" applyAlignment="1">
      <alignment horizontal="center"/>
    </xf>
    <xf numFmtId="44" fontId="0" fillId="0" borderId="0" xfId="0" applyNumberFormat="1" applyAlignment="1">
      <alignment horizontal="center"/>
    </xf>
    <xf numFmtId="0" fontId="0" fillId="0" borderId="1" xfId="0" applyFill="1" applyBorder="1" applyAlignment="1">
      <alignment horizontal="center"/>
    </xf>
    <xf numFmtId="44" fontId="0" fillId="0" borderId="1" xfId="1" applyFont="1" applyFill="1" applyBorder="1" applyAlignment="1">
      <alignment horizontal="center"/>
    </xf>
    <xf numFmtId="0" fontId="0" fillId="0" borderId="1" xfId="0" quotePrefix="1" applyBorder="1" applyAlignment="1">
      <alignment horizontal="center"/>
    </xf>
    <xf numFmtId="2" fontId="0" fillId="0" borderId="1" xfId="2" quotePrefix="1" applyNumberFormat="1" applyFont="1" applyBorder="1" applyAlignment="1">
      <alignment horizontal="center"/>
    </xf>
    <xf numFmtId="165" fontId="0" fillId="0" borderId="1" xfId="2" quotePrefix="1" applyNumberFormat="1" applyFont="1" applyBorder="1" applyAlignment="1">
      <alignment horizontal="center"/>
    </xf>
    <xf numFmtId="44" fontId="4" fillId="5" borderId="1" xfId="0" applyNumberFormat="1" applyFont="1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4" fontId="2" fillId="0" borderId="1" xfId="0" applyNumberFormat="1" applyFont="1" applyBorder="1"/>
    <xf numFmtId="44" fontId="0" fillId="0" borderId="1" xfId="0" applyNumberFormat="1" applyBorder="1"/>
    <xf numFmtId="0" fontId="0" fillId="5" borderId="1" xfId="0" applyFill="1" applyBorder="1" applyAlignment="1">
      <alignment horizontal="center"/>
    </xf>
    <xf numFmtId="9" fontId="8" fillId="0" borderId="1" xfId="2" applyFont="1" applyBorder="1" applyAlignment="1">
      <alignment horizontal="center"/>
    </xf>
    <xf numFmtId="44" fontId="0" fillId="5" borderId="0" xfId="1" applyFont="1" applyFill="1"/>
    <xf numFmtId="44" fontId="0" fillId="5" borderId="0" xfId="0" applyNumberFormat="1" applyFill="1"/>
    <xf numFmtId="0" fontId="0" fillId="6" borderId="1" xfId="0" applyFill="1" applyBorder="1" applyAlignment="1">
      <alignment horizontal="center"/>
    </xf>
    <xf numFmtId="44" fontId="0" fillId="6" borderId="1" xfId="1" applyFont="1" applyFill="1" applyBorder="1"/>
    <xf numFmtId="164" fontId="9" fillId="0" borderId="1" xfId="1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44" fontId="5" fillId="3" borderId="1" xfId="1" applyFont="1" applyFill="1" applyBorder="1"/>
    <xf numFmtId="10" fontId="0" fillId="0" borderId="0" xfId="0" applyNumberFormat="1"/>
    <xf numFmtId="9" fontId="0" fillId="0" borderId="0" xfId="0" applyNumberFormat="1"/>
    <xf numFmtId="0" fontId="0" fillId="0" borderId="1" xfId="0" applyFill="1" applyBorder="1"/>
    <xf numFmtId="44" fontId="0" fillId="0" borderId="1" xfId="0" applyNumberFormat="1" applyFill="1" applyBorder="1"/>
    <xf numFmtId="0" fontId="0" fillId="0" borderId="14" xfId="0" applyBorder="1"/>
    <xf numFmtId="0" fontId="3" fillId="4" borderId="14" xfId="0" applyFont="1" applyFill="1" applyBorder="1"/>
    <xf numFmtId="0" fontId="0" fillId="0" borderId="0" xfId="0" applyBorder="1"/>
    <xf numFmtId="44" fontId="4" fillId="4" borderId="0" xfId="1" applyFont="1" applyFill="1" applyBorder="1"/>
    <xf numFmtId="44" fontId="5" fillId="4" borderId="0" xfId="1" applyFont="1" applyFill="1" applyBorder="1"/>
    <xf numFmtId="0" fontId="0" fillId="0" borderId="0" xfId="0" applyFill="1" applyBorder="1" applyAlignment="1">
      <alignment horizontal="center"/>
    </xf>
    <xf numFmtId="164" fontId="9" fillId="0" borderId="0" xfId="1" applyNumberFormat="1" applyFont="1" applyFill="1" applyBorder="1" applyAlignment="1">
      <alignment horizontal="center"/>
    </xf>
    <xf numFmtId="0" fontId="0" fillId="7" borderId="1" xfId="0" applyFill="1" applyBorder="1"/>
    <xf numFmtId="0" fontId="0" fillId="8" borderId="1" xfId="0" applyFill="1" applyBorder="1"/>
    <xf numFmtId="44" fontId="4" fillId="8" borderId="1" xfId="0" applyNumberFormat="1" applyFont="1" applyFill="1" applyBorder="1"/>
    <xf numFmtId="0" fontId="0" fillId="0" borderId="0" xfId="0" quotePrefix="1"/>
    <xf numFmtId="164" fontId="0" fillId="0" borderId="0" xfId="0" applyNumberFormat="1" applyFill="1" applyBorder="1"/>
    <xf numFmtId="0" fontId="0" fillId="0" borderId="0" xfId="0" applyFill="1" applyBorder="1"/>
    <xf numFmtId="44" fontId="5" fillId="7" borderId="1" xfId="0" applyNumberFormat="1" applyFont="1" applyFill="1" applyBorder="1"/>
    <xf numFmtId="44" fontId="5" fillId="8" borderId="1" xfId="0" applyNumberFormat="1" applyFont="1" applyFill="1" applyBorder="1"/>
    <xf numFmtId="6" fontId="0" fillId="0" borderId="0" xfId="0" applyNumberFormat="1"/>
    <xf numFmtId="44" fontId="0" fillId="3" borderId="0" xfId="1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/>
    </xf>
    <xf numFmtId="3" fontId="0" fillId="0" borderId="1" xfId="0" applyNumberFormat="1" applyBorder="1"/>
    <xf numFmtId="0" fontId="2" fillId="3" borderId="0" xfId="0" applyFont="1" applyFill="1"/>
    <xf numFmtId="44" fontId="2" fillId="3" borderId="0" xfId="0" applyNumberFormat="1" applyFont="1" applyFill="1"/>
    <xf numFmtId="10" fontId="0" fillId="0" borderId="0" xfId="2" applyNumberFormat="1" applyFont="1"/>
    <xf numFmtId="0" fontId="2" fillId="0" borderId="0" xfId="0" applyFont="1"/>
    <xf numFmtId="44" fontId="2" fillId="3" borderId="1" xfId="0" applyNumberFormat="1" applyFont="1" applyFill="1" applyBorder="1"/>
    <xf numFmtId="10" fontId="0" fillId="0" borderId="1" xfId="2" applyNumberFormat="1" applyFont="1" applyBorder="1"/>
    <xf numFmtId="0" fontId="0" fillId="0" borderId="1" xfId="0" applyBorder="1" applyAlignment="1">
      <alignment wrapText="1"/>
    </xf>
    <xf numFmtId="165" fontId="0" fillId="0" borderId="1" xfId="0" applyNumberFormat="1" applyBorder="1"/>
    <xf numFmtId="166" fontId="0" fillId="3" borderId="1" xfId="2" applyNumberFormat="1" applyFont="1" applyFill="1" applyBorder="1"/>
    <xf numFmtId="167" fontId="0" fillId="3" borderId="1" xfId="2" applyNumberFormat="1" applyFont="1" applyFill="1" applyBorder="1"/>
    <xf numFmtId="164" fontId="0" fillId="0" borderId="1" xfId="1" applyNumberFormat="1" applyFont="1" applyBorder="1"/>
    <xf numFmtId="6" fontId="0" fillId="0" borderId="1" xfId="0" applyNumberFormat="1" applyBorder="1"/>
    <xf numFmtId="164" fontId="0" fillId="0" borderId="1" xfId="0" applyNumberFormat="1" applyBorder="1"/>
    <xf numFmtId="164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Fill="1" applyBorder="1" applyAlignment="1"/>
    <xf numFmtId="0" fontId="0" fillId="0" borderId="14" xfId="0" applyFill="1" applyBorder="1" applyAlignment="1"/>
    <xf numFmtId="44" fontId="4" fillId="7" borderId="2" xfId="0" applyNumberFormat="1" applyFont="1" applyFill="1" applyBorder="1" applyAlignment="1">
      <alignment horizontal="center"/>
    </xf>
    <xf numFmtId="44" fontId="4" fillId="7" borderId="3" xfId="0" applyNumberFormat="1" applyFont="1" applyFill="1" applyBorder="1" applyAlignment="1">
      <alignment horizontal="center"/>
    </xf>
    <xf numFmtId="44" fontId="4" fillId="7" borderId="4" xfId="0" applyNumberFormat="1" applyFont="1" applyFill="1" applyBorder="1" applyAlignment="1">
      <alignment horizontal="center"/>
    </xf>
    <xf numFmtId="44" fontId="4" fillId="4" borderId="5" xfId="0" applyNumberFormat="1" applyFont="1" applyFill="1" applyBorder="1" applyAlignment="1">
      <alignment horizontal="center"/>
    </xf>
    <xf numFmtId="44" fontId="4" fillId="4" borderId="6" xfId="0" applyNumberFormat="1" applyFont="1" applyFill="1" applyBorder="1" applyAlignment="1">
      <alignment horizontal="center"/>
    </xf>
    <xf numFmtId="44" fontId="4" fillId="4" borderId="7" xfId="0" applyNumberFormat="1" applyFont="1" applyFill="1" applyBorder="1" applyAlignment="1">
      <alignment horizontal="center"/>
    </xf>
    <xf numFmtId="44" fontId="4" fillId="4" borderId="8" xfId="0" applyNumberFormat="1" applyFont="1" applyFill="1" applyBorder="1" applyAlignment="1">
      <alignment horizontal="center"/>
    </xf>
    <xf numFmtId="44" fontId="4" fillId="4" borderId="0" xfId="0" applyNumberFormat="1" applyFont="1" applyFill="1" applyBorder="1" applyAlignment="1">
      <alignment horizontal="center"/>
    </xf>
    <xf numFmtId="44" fontId="4" fillId="4" borderId="9" xfId="0" applyNumberFormat="1" applyFont="1" applyFill="1" applyBorder="1" applyAlignment="1">
      <alignment horizontal="center"/>
    </xf>
    <xf numFmtId="44" fontId="4" fillId="4" borderId="10" xfId="0" applyNumberFormat="1" applyFont="1" applyFill="1" applyBorder="1" applyAlignment="1">
      <alignment horizontal="center"/>
    </xf>
    <xf numFmtId="44" fontId="4" fillId="4" borderId="11" xfId="0" applyNumberFormat="1" applyFont="1" applyFill="1" applyBorder="1" applyAlignment="1">
      <alignment horizontal="center"/>
    </xf>
    <xf numFmtId="44" fontId="4" fillId="4" borderId="12" xfId="0" applyNumberFormat="1" applyFont="1" applyFill="1" applyBorder="1" applyAlignment="1">
      <alignment horizontal="center"/>
    </xf>
    <xf numFmtId="0" fontId="12" fillId="9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164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quotePrefix="1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10" borderId="1" xfId="0" applyFill="1" applyBorder="1"/>
    <xf numFmtId="168" fontId="0" fillId="10" borderId="1" xfId="0" applyNumberFormat="1" applyFill="1" applyBorder="1"/>
    <xf numFmtId="0" fontId="0" fillId="11" borderId="1" xfId="0" applyFill="1" applyBorder="1"/>
    <xf numFmtId="0" fontId="0" fillId="11" borderId="1" xfId="0" applyFill="1" applyBorder="1" applyAlignment="1">
      <alignment horizontal="center"/>
    </xf>
    <xf numFmtId="44" fontId="0" fillId="11" borderId="1" xfId="0" applyNumberFormat="1" applyFill="1" applyBorder="1"/>
    <xf numFmtId="44" fontId="0" fillId="10" borderId="1" xfId="1" applyFont="1" applyFill="1" applyBorder="1"/>
    <xf numFmtId="0" fontId="0" fillId="0" borderId="0" xfId="0" applyNumberFormat="1"/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6</xdr:col>
      <xdr:colOff>30480</xdr:colOff>
      <xdr:row>39</xdr:row>
      <xdr:rowOff>83820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3F3FB44F-AC97-4FF8-AE70-DDFE411723A5}"/>
            </a:ext>
          </a:extLst>
        </xdr:cNvPr>
        <xdr:cNvSpPr txBox="1"/>
      </xdr:nvSpPr>
      <xdr:spPr>
        <a:xfrm>
          <a:off x="0" y="5303520"/>
          <a:ext cx="5539740" cy="2095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Pour les cadres :  X -&gt; MS</a:t>
          </a:r>
          <a:r>
            <a:rPr lang="fr-FR" sz="1100" baseline="0"/>
            <a:t> S2 DE N+1</a:t>
          </a:r>
          <a:endParaRPr lang="fr-FR" sz="1100"/>
        </a:p>
        <a:p>
          <a:r>
            <a:rPr lang="fr-FR" sz="1100"/>
            <a:t>MS</a:t>
          </a:r>
          <a:r>
            <a:rPr lang="fr-FR" sz="1100" baseline="0"/>
            <a:t> N+1 = MS N *1,02</a:t>
          </a:r>
        </a:p>
        <a:p>
          <a:r>
            <a:rPr lang="fr-FR" sz="1100" baseline="0"/>
            <a:t>MS N+1 =&gt;   (4866 + X)  = (4782+4842)*1,02</a:t>
          </a:r>
        </a:p>
        <a:p>
          <a:r>
            <a:rPr lang="fr-FR" sz="1100" baseline="0"/>
            <a:t>MS N+1 =&gt; X = (9816,48-4866)  =&gt;  4950,48€</a:t>
          </a:r>
        </a:p>
        <a:p>
          <a:r>
            <a:rPr lang="fr-FR" sz="1100" baseline="0"/>
            <a:t>Augmentation au 1/07N+1 =&gt;  4950,48/4866  =&gt;  1,736% </a:t>
          </a:r>
        </a:p>
        <a:p>
          <a:endParaRPr lang="fr-FR" sz="1100" baseline="0"/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les non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cadres : X -&gt; MS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S2 DE N+1</a:t>
          </a:r>
          <a:endParaRPr lang="fr-FR">
            <a:effectLst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MS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N+1 = MS N *1,04</a:t>
          </a:r>
          <a:endParaRPr lang="fr-FR">
            <a:effectLst/>
          </a:endParaRPr>
        </a:p>
        <a:p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MS N+1 =&gt;   (14209 + X)  = (13692+14115)*1,04</a:t>
          </a:r>
          <a:endParaRPr lang="fr-FR">
            <a:effectLst/>
          </a:endParaRPr>
        </a:p>
        <a:p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MS N+1 =&gt; X = (28919,28-14209)  =&gt;  14710,28€</a:t>
          </a:r>
          <a:endParaRPr lang="fr-FR">
            <a:effectLst/>
          </a:endParaRPr>
        </a:p>
        <a:p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Augmentation au 1/07N+1 =&gt;  14710,28/14209  =&gt;  3,527% -1,5%  =&gt; 2,027%</a:t>
          </a:r>
          <a:endParaRPr lang="fr-FR">
            <a:effectLst/>
          </a:endParaRPr>
        </a:p>
        <a:p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H33"/>
  <sheetViews>
    <sheetView showGridLines="0" topLeftCell="A14" zoomScale="150" zoomScaleNormal="150" workbookViewId="0">
      <selection activeCell="A30" sqref="A30:F33"/>
    </sheetView>
  </sheetViews>
  <sheetFormatPr baseColWidth="10" defaultRowHeight="14.4" x14ac:dyDescent="0.3"/>
  <cols>
    <col min="1" max="1" width="37.109375" bestFit="1" customWidth="1"/>
    <col min="2" max="6" width="17" customWidth="1"/>
    <col min="7" max="7" width="3.33203125" style="4" customWidth="1"/>
    <col min="8" max="8" width="64.5546875" customWidth="1"/>
  </cols>
  <sheetData>
    <row r="1" spans="1:8" x14ac:dyDescent="0.3">
      <c r="B1" s="1">
        <f>F15/F5</f>
        <v>21078.125</v>
      </c>
      <c r="C1" s="2" t="s">
        <v>0</v>
      </c>
    </row>
    <row r="4" spans="1:8" x14ac:dyDescent="0.3">
      <c r="A4" s="3"/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</row>
    <row r="5" spans="1:8" x14ac:dyDescent="0.3">
      <c r="A5" s="3" t="s">
        <v>6</v>
      </c>
      <c r="B5" s="3">
        <v>12</v>
      </c>
      <c r="C5" s="3">
        <v>25</v>
      </c>
      <c r="D5" s="3">
        <v>17</v>
      </c>
      <c r="E5" s="3">
        <v>42</v>
      </c>
      <c r="F5" s="35">
        <f>SUM(B5:E5)</f>
        <v>96</v>
      </c>
    </row>
    <row r="6" spans="1:8" x14ac:dyDescent="0.3">
      <c r="A6" s="3"/>
      <c r="B6" s="32">
        <f>B5/$F$5</f>
        <v>0.125</v>
      </c>
      <c r="C6" s="32">
        <f t="shared" ref="C6:E6" si="0">C5/$F$5</f>
        <v>0.26041666666666669</v>
      </c>
      <c r="D6" s="32">
        <f t="shared" si="0"/>
        <v>0.17708333333333334</v>
      </c>
      <c r="E6" s="32">
        <f t="shared" si="0"/>
        <v>0.4375</v>
      </c>
      <c r="F6" s="3"/>
      <c r="G6" s="19"/>
    </row>
    <row r="7" spans="1:8" x14ac:dyDescent="0.3">
      <c r="A7" s="3" t="s">
        <v>7</v>
      </c>
      <c r="B7" s="31">
        <v>15</v>
      </c>
      <c r="C7" s="31">
        <v>25</v>
      </c>
      <c r="D7" s="31">
        <v>26</v>
      </c>
      <c r="E7" s="31">
        <v>39</v>
      </c>
      <c r="F7" s="31">
        <f t="shared" ref="F7" si="1">SUM(B7:E7)</f>
        <v>105</v>
      </c>
    </row>
    <row r="8" spans="1:8" x14ac:dyDescent="0.3">
      <c r="A8" s="3"/>
      <c r="B8" s="32">
        <f>B7/$F$7</f>
        <v>0.14285714285714285</v>
      </c>
      <c r="C8" s="32">
        <f t="shared" ref="C8:E8" si="2">C7/$F$7</f>
        <v>0.23809523809523808</v>
      </c>
      <c r="D8" s="32">
        <f t="shared" si="2"/>
        <v>0.24761904761904763</v>
      </c>
      <c r="E8" s="32">
        <f t="shared" si="2"/>
        <v>0.37142857142857144</v>
      </c>
      <c r="F8" s="3"/>
    </row>
    <row r="9" spans="1:8" x14ac:dyDescent="0.3">
      <c r="A9" s="3" t="s">
        <v>8</v>
      </c>
      <c r="B9" s="6">
        <v>32000</v>
      </c>
      <c r="C9" s="6">
        <v>20000</v>
      </c>
      <c r="D9" s="6">
        <v>24000</v>
      </c>
      <c r="E9" s="6">
        <v>18000</v>
      </c>
      <c r="F9" s="6">
        <f>(B7*B9+C7*C9+D7*D9+E7*E9)/F7</f>
        <v>21961.904761904763</v>
      </c>
    </row>
    <row r="10" spans="1:8" x14ac:dyDescent="0.3">
      <c r="A10" s="3" t="s">
        <v>0</v>
      </c>
      <c r="B10" s="6">
        <v>31500</v>
      </c>
      <c r="C10" s="6">
        <v>19800</v>
      </c>
      <c r="D10" s="6">
        <v>23700</v>
      </c>
      <c r="E10" s="6">
        <v>17800</v>
      </c>
      <c r="F10" s="6">
        <f>(B5*B10+C5*C10+D5*D10+E5*E10)/F5</f>
        <v>21078.125</v>
      </c>
      <c r="H10" s="7"/>
    </row>
    <row r="11" spans="1:8" x14ac:dyDescent="0.3">
      <c r="B11" s="33">
        <f>B9-B10</f>
        <v>500</v>
      </c>
      <c r="C11" s="33">
        <f t="shared" ref="C11:E11" si="3">C9-C10</f>
        <v>200</v>
      </c>
      <c r="D11" s="33">
        <f t="shared" si="3"/>
        <v>300</v>
      </c>
      <c r="E11" s="33">
        <f t="shared" si="3"/>
        <v>200</v>
      </c>
      <c r="F11" s="34"/>
      <c r="H11" s="7"/>
    </row>
    <row r="12" spans="1:8" x14ac:dyDescent="0.3">
      <c r="B12" s="33">
        <f>B7*B11</f>
        <v>7500</v>
      </c>
      <c r="C12" s="33">
        <f t="shared" ref="C12:E12" si="4">C7*C11</f>
        <v>5000</v>
      </c>
      <c r="D12" s="33">
        <f t="shared" si="4"/>
        <v>7800</v>
      </c>
      <c r="E12" s="33">
        <f t="shared" si="4"/>
        <v>7800</v>
      </c>
      <c r="F12" s="34">
        <f>SUM(B12:E12)</f>
        <v>28100</v>
      </c>
      <c r="H12" s="7"/>
    </row>
    <row r="13" spans="1:8" x14ac:dyDescent="0.3">
      <c r="B13" s="5"/>
      <c r="C13" s="5"/>
      <c r="D13" s="5"/>
      <c r="E13" s="5"/>
    </row>
    <row r="14" spans="1:8" x14ac:dyDescent="0.3">
      <c r="A14" s="8"/>
      <c r="B14" s="3" t="s">
        <v>1</v>
      </c>
      <c r="C14" s="3" t="s">
        <v>2</v>
      </c>
      <c r="D14" s="3" t="s">
        <v>3</v>
      </c>
      <c r="E14" s="3" t="s">
        <v>4</v>
      </c>
      <c r="F14" s="3" t="s">
        <v>5</v>
      </c>
    </row>
    <row r="15" spans="1:8" x14ac:dyDescent="0.3">
      <c r="A15" s="8" t="s">
        <v>9</v>
      </c>
      <c r="B15" s="9">
        <f>B10*B5</f>
        <v>378000</v>
      </c>
      <c r="C15" s="9">
        <f>C10*C5</f>
        <v>495000</v>
      </c>
      <c r="D15" s="9">
        <f>D10*D5</f>
        <v>402900</v>
      </c>
      <c r="E15" s="9">
        <f>E10*E5</f>
        <v>747600</v>
      </c>
      <c r="F15" s="36">
        <f>SUM(B15:E15)</f>
        <v>2023500</v>
      </c>
      <c r="G15" s="19"/>
    </row>
    <row r="16" spans="1:8" x14ac:dyDescent="0.3">
      <c r="A16" s="8" t="s">
        <v>10</v>
      </c>
      <c r="B16" s="9">
        <f>+B7*B9</f>
        <v>480000</v>
      </c>
      <c r="C16" s="9">
        <f>+C7*C9</f>
        <v>500000</v>
      </c>
      <c r="D16" s="9">
        <f>+D7*D9</f>
        <v>624000</v>
      </c>
      <c r="E16" s="9">
        <f>+E7*E9</f>
        <v>702000</v>
      </c>
      <c r="F16" s="9">
        <f>SUM(B16:E16)</f>
        <v>2306000</v>
      </c>
      <c r="G16" s="19"/>
    </row>
    <row r="17" spans="1:8" x14ac:dyDescent="0.3">
      <c r="A17" s="8" t="s">
        <v>11</v>
      </c>
      <c r="B17" s="11">
        <f t="shared" ref="B17:E17" si="5">B16-B15</f>
        <v>102000</v>
      </c>
      <c r="C17" s="11">
        <f t="shared" si="5"/>
        <v>5000</v>
      </c>
      <c r="D17" s="11">
        <f t="shared" si="5"/>
        <v>221100</v>
      </c>
      <c r="E17" s="11">
        <f t="shared" si="5"/>
        <v>-45600</v>
      </c>
      <c r="F17" s="39">
        <f>F16-F15</f>
        <v>282500</v>
      </c>
      <c r="G17" s="4" t="s">
        <v>19</v>
      </c>
    </row>
    <row r="18" spans="1:8" x14ac:dyDescent="0.3">
      <c r="A18" s="8"/>
      <c r="B18" s="12"/>
      <c r="C18" s="12"/>
      <c r="D18" s="12"/>
      <c r="E18" s="12"/>
      <c r="F18" s="12"/>
    </row>
    <row r="19" spans="1:8" x14ac:dyDescent="0.3">
      <c r="A19" s="13" t="s">
        <v>12</v>
      </c>
      <c r="B19" s="14"/>
      <c r="C19" s="14"/>
      <c r="D19" s="14"/>
      <c r="E19" s="14"/>
      <c r="F19" s="26">
        <f>21078.13*105</f>
        <v>2213203.65</v>
      </c>
      <c r="G19" s="20"/>
    </row>
    <row r="20" spans="1:8" x14ac:dyDescent="0.3">
      <c r="A20" s="8" t="s">
        <v>13</v>
      </c>
      <c r="B20" s="15">
        <f>15*31500</f>
        <v>472500</v>
      </c>
      <c r="C20" s="15">
        <f>C7*C10</f>
        <v>495000</v>
      </c>
      <c r="D20" s="15">
        <f>D7*D10</f>
        <v>616200</v>
      </c>
      <c r="E20" s="15">
        <f>E7*E10</f>
        <v>694200</v>
      </c>
      <c r="F20" s="16">
        <f>SUM(B20:E20)</f>
        <v>2277900</v>
      </c>
    </row>
    <row r="21" spans="1:8" x14ac:dyDescent="0.3">
      <c r="A21" s="8"/>
      <c r="B21" s="12"/>
      <c r="C21" s="12"/>
      <c r="D21" s="12"/>
      <c r="E21" s="12"/>
      <c r="F21" s="12"/>
    </row>
    <row r="22" spans="1:8" x14ac:dyDescent="0.3">
      <c r="A22" s="8" t="s">
        <v>14</v>
      </c>
      <c r="B22" s="15"/>
      <c r="C22" s="15"/>
      <c r="D22" s="15"/>
      <c r="E22" s="15"/>
      <c r="F22" s="26">
        <f>F19-F15</f>
        <v>189703.64999999991</v>
      </c>
      <c r="G22" s="20" t="s">
        <v>19</v>
      </c>
      <c r="H22" t="s">
        <v>29</v>
      </c>
    </row>
    <row r="23" spans="1:8" x14ac:dyDescent="0.3">
      <c r="A23" s="8" t="s">
        <v>20</v>
      </c>
      <c r="B23" s="15"/>
      <c r="C23" s="15"/>
      <c r="D23" s="15"/>
      <c r="E23" s="15"/>
      <c r="F23" s="15">
        <f>2277900-2213203.65</f>
        <v>64696.350000000093</v>
      </c>
      <c r="G23" s="4" t="s">
        <v>19</v>
      </c>
      <c r="H23" t="s">
        <v>30</v>
      </c>
    </row>
    <row r="24" spans="1:8" x14ac:dyDescent="0.3">
      <c r="A24" s="8" t="s">
        <v>15</v>
      </c>
      <c r="B24" s="15"/>
      <c r="C24" s="15"/>
      <c r="D24" s="15"/>
      <c r="E24" s="15"/>
      <c r="F24" s="15">
        <f>2306000-2277900</f>
        <v>28100</v>
      </c>
      <c r="G24" s="4" t="s">
        <v>19</v>
      </c>
      <c r="H24" t="s">
        <v>31</v>
      </c>
    </row>
    <row r="25" spans="1:8" x14ac:dyDescent="0.3">
      <c r="A25" s="8"/>
      <c r="B25" s="17">
        <f>SUM(B22:B24)</f>
        <v>0</v>
      </c>
      <c r="C25" s="17">
        <f t="shared" ref="C25:E25" si="6">SUM(C22:C24)</f>
        <v>0</v>
      </c>
      <c r="D25" s="17">
        <f t="shared" si="6"/>
        <v>0</v>
      </c>
      <c r="E25" s="17">
        <f t="shared" si="6"/>
        <v>0</v>
      </c>
      <c r="F25" s="18">
        <f>SUM(F22:F24)</f>
        <v>282500</v>
      </c>
    </row>
    <row r="27" spans="1:8" x14ac:dyDescent="0.3">
      <c r="A27">
        <f>(32000-31500)*15+(20000-19800)*25+(24000-23700)*26+(18000-17800)*39</f>
        <v>28100</v>
      </c>
    </row>
    <row r="30" spans="1:8" x14ac:dyDescent="0.3">
      <c r="A30" s="21"/>
      <c r="B30" s="21" t="s">
        <v>1</v>
      </c>
      <c r="C30" s="21" t="s">
        <v>2</v>
      </c>
      <c r="D30" s="21" t="s">
        <v>3</v>
      </c>
      <c r="E30" s="21" t="s">
        <v>4</v>
      </c>
      <c r="F30" s="21" t="s">
        <v>5</v>
      </c>
    </row>
    <row r="31" spans="1:8" x14ac:dyDescent="0.3">
      <c r="A31" s="21" t="s">
        <v>0</v>
      </c>
      <c r="B31" s="22">
        <v>31500</v>
      </c>
      <c r="C31" s="22">
        <v>19800</v>
      </c>
      <c r="D31" s="22">
        <v>23700</v>
      </c>
      <c r="E31" s="22">
        <v>17800</v>
      </c>
      <c r="F31" s="79"/>
    </row>
    <row r="32" spans="1:8" x14ac:dyDescent="0.3">
      <c r="A32" s="21" t="s">
        <v>7</v>
      </c>
      <c r="B32" s="21">
        <v>15</v>
      </c>
      <c r="C32" s="21">
        <v>25</v>
      </c>
      <c r="D32" s="21">
        <v>26</v>
      </c>
      <c r="E32" s="21">
        <v>39</v>
      </c>
      <c r="F32" s="80"/>
    </row>
    <row r="33" spans="1:6" x14ac:dyDescent="0.3">
      <c r="A33" s="42" t="s">
        <v>13</v>
      </c>
      <c r="B33" s="43">
        <f>B31*B32</f>
        <v>472500</v>
      </c>
      <c r="C33" s="43">
        <f t="shared" ref="C33:E33" si="7">C31*C32</f>
        <v>495000</v>
      </c>
      <c r="D33" s="43">
        <f t="shared" si="7"/>
        <v>616200</v>
      </c>
      <c r="E33" s="43">
        <f t="shared" si="7"/>
        <v>694200</v>
      </c>
      <c r="F33" s="43">
        <f>SUM(B33:E33)</f>
        <v>2277900</v>
      </c>
    </row>
  </sheetData>
  <mergeCells count="1">
    <mergeCell ref="F31:F32"/>
  </mergeCells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/>
  <dimension ref="A1:J31"/>
  <sheetViews>
    <sheetView showGridLines="0" zoomScale="150" zoomScaleNormal="150" workbookViewId="0">
      <selection activeCell="G21" sqref="G21"/>
    </sheetView>
  </sheetViews>
  <sheetFormatPr baseColWidth="10" defaultRowHeight="14.4" x14ac:dyDescent="0.3"/>
  <cols>
    <col min="1" max="1" width="39.6640625" customWidth="1"/>
    <col min="2" max="2" width="15.5546875" bestFit="1" customWidth="1"/>
    <col min="3" max="3" width="18.5546875" customWidth="1"/>
    <col min="4" max="4" width="15.5546875" bestFit="1" customWidth="1"/>
    <col min="5" max="5" width="16.109375" customWidth="1"/>
    <col min="6" max="6" width="33" customWidth="1"/>
    <col min="7" max="9" width="14.6640625" customWidth="1"/>
  </cols>
  <sheetData>
    <row r="1" spans="1:10" ht="1.2" customHeight="1" x14ac:dyDescent="0.3"/>
    <row r="2" spans="1:10" ht="1.2" customHeight="1" x14ac:dyDescent="0.3"/>
    <row r="3" spans="1:10" ht="1.2" customHeight="1" x14ac:dyDescent="0.3"/>
    <row r="4" spans="1:10" x14ac:dyDescent="0.3">
      <c r="A4" s="3"/>
      <c r="B4" s="3" t="s">
        <v>16</v>
      </c>
      <c r="C4" s="3" t="s">
        <v>17</v>
      </c>
      <c r="D4" s="3" t="s">
        <v>18</v>
      </c>
      <c r="E4" s="4" t="s">
        <v>5</v>
      </c>
      <c r="G4" s="49"/>
      <c r="H4" s="49"/>
      <c r="I4" s="49"/>
    </row>
    <row r="5" spans="1:10" x14ac:dyDescent="0.3">
      <c r="A5" s="3" t="s">
        <v>6</v>
      </c>
      <c r="B5" s="21">
        <v>26</v>
      </c>
      <c r="C5" s="21">
        <v>54</v>
      </c>
      <c r="D5" s="21">
        <v>20</v>
      </c>
      <c r="E5" s="4">
        <f>SUM(B5:D5)</f>
        <v>100</v>
      </c>
      <c r="G5" s="49"/>
      <c r="H5" s="49"/>
      <c r="I5" s="49"/>
    </row>
    <row r="6" spans="1:10" x14ac:dyDescent="0.3">
      <c r="A6" s="3" t="s">
        <v>0</v>
      </c>
      <c r="B6" s="37">
        <v>30000</v>
      </c>
      <c r="C6" s="37">
        <v>36000</v>
      </c>
      <c r="D6" s="37">
        <v>24000</v>
      </c>
      <c r="E6" s="4"/>
      <c r="F6" s="5"/>
      <c r="G6" s="50"/>
      <c r="H6" s="50"/>
      <c r="I6" s="50"/>
    </row>
    <row r="7" spans="1:10" x14ac:dyDescent="0.3">
      <c r="A7" s="3" t="s">
        <v>7</v>
      </c>
      <c r="B7" s="38">
        <v>27</v>
      </c>
      <c r="C7" s="38">
        <v>47</v>
      </c>
      <c r="D7" s="38">
        <v>28</v>
      </c>
      <c r="E7" s="4">
        <f>SUM(B7:D7)</f>
        <v>102</v>
      </c>
      <c r="G7" s="55"/>
      <c r="H7" s="55"/>
      <c r="I7" s="55"/>
    </row>
    <row r="8" spans="1:10" x14ac:dyDescent="0.3">
      <c r="A8" s="3" t="s">
        <v>8</v>
      </c>
      <c r="B8" s="22">
        <v>31200</v>
      </c>
      <c r="C8" s="22">
        <v>36500</v>
      </c>
      <c r="D8" s="22">
        <v>25600</v>
      </c>
      <c r="E8" s="5"/>
      <c r="G8" s="56"/>
      <c r="H8" s="56"/>
      <c r="I8" s="56"/>
      <c r="J8" s="7"/>
    </row>
    <row r="9" spans="1:10" ht="7.95" customHeight="1" x14ac:dyDescent="0.3">
      <c r="B9" s="5"/>
      <c r="C9" s="5"/>
      <c r="D9" s="5"/>
      <c r="E9" s="7"/>
      <c r="G9" s="56"/>
      <c r="H9" s="56"/>
      <c r="I9" s="56"/>
      <c r="J9" s="7"/>
    </row>
    <row r="10" spans="1:10" x14ac:dyDescent="0.3">
      <c r="A10" s="1">
        <f>E14/E5</f>
        <v>32040</v>
      </c>
      <c r="B10" s="2" t="s">
        <v>0</v>
      </c>
      <c r="C10" s="5"/>
      <c r="D10" s="5"/>
      <c r="G10" s="56"/>
      <c r="H10" s="55"/>
      <c r="I10" s="56"/>
      <c r="J10" s="7"/>
    </row>
    <row r="11" spans="1:10" ht="6" customHeight="1" x14ac:dyDescent="0.3">
      <c r="B11" s="5"/>
      <c r="C11" s="5"/>
      <c r="D11" s="5"/>
      <c r="J11" s="7"/>
    </row>
    <row r="12" spans="1:10" ht="5.4" customHeight="1" x14ac:dyDescent="0.3">
      <c r="B12" s="5"/>
      <c r="C12" s="5"/>
      <c r="D12" s="5"/>
      <c r="J12" s="7"/>
    </row>
    <row r="13" spans="1:10" x14ac:dyDescent="0.3">
      <c r="A13" s="8"/>
      <c r="B13" s="3" t="str">
        <f>B4</f>
        <v xml:space="preserve">ELECTRICIENS </v>
      </c>
      <c r="C13" s="3" t="str">
        <f t="shared" ref="C13:D13" si="0">C4</f>
        <v>CARROSSIERS</v>
      </c>
      <c r="D13" s="3" t="str">
        <f t="shared" si="0"/>
        <v>PEINTRES</v>
      </c>
      <c r="E13" s="3" t="s">
        <v>5</v>
      </c>
      <c r="J13" s="7"/>
    </row>
    <row r="14" spans="1:10" x14ac:dyDescent="0.3">
      <c r="A14" s="8" t="s">
        <v>9</v>
      </c>
      <c r="B14" s="9">
        <f>B5*B6</f>
        <v>780000</v>
      </c>
      <c r="C14" s="9">
        <f t="shared" ref="C14:D14" si="1">C5*C6</f>
        <v>1944000</v>
      </c>
      <c r="D14" s="9">
        <f t="shared" si="1"/>
        <v>480000</v>
      </c>
      <c r="E14" s="10">
        <f>SUM(B14:D14)</f>
        <v>3204000</v>
      </c>
      <c r="F14" s="5"/>
    </row>
    <row r="15" spans="1:10" x14ac:dyDescent="0.3">
      <c r="A15" s="8" t="s">
        <v>10</v>
      </c>
      <c r="B15" s="9">
        <f>B7*B8</f>
        <v>842400</v>
      </c>
      <c r="C15" s="9">
        <f t="shared" ref="C15:D15" si="2">C7*C8</f>
        <v>1715500</v>
      </c>
      <c r="D15" s="9">
        <f t="shared" si="2"/>
        <v>716800</v>
      </c>
      <c r="E15" s="9">
        <f>SUM(B15:D15)</f>
        <v>3274700</v>
      </c>
      <c r="F15" s="5"/>
    </row>
    <row r="16" spans="1:10" x14ac:dyDescent="0.3">
      <c r="A16" s="8" t="s">
        <v>39</v>
      </c>
      <c r="B16" s="11">
        <f t="shared" ref="B16:D16" si="3">B15-B14</f>
        <v>62400</v>
      </c>
      <c r="C16" s="11">
        <f t="shared" si="3"/>
        <v>-228500</v>
      </c>
      <c r="D16" s="11">
        <f t="shared" si="3"/>
        <v>236800</v>
      </c>
      <c r="E16" s="39">
        <f>E15-E14</f>
        <v>70700</v>
      </c>
      <c r="F16" t="s">
        <v>19</v>
      </c>
    </row>
    <row r="17" spans="1:7" ht="7.95" customHeight="1" x14ac:dyDescent="0.3">
      <c r="A17" s="46"/>
      <c r="B17" s="47"/>
      <c r="C17" s="47"/>
      <c r="D17" s="47"/>
      <c r="E17" s="48"/>
    </row>
    <row r="18" spans="1:7" x14ac:dyDescent="0.3">
      <c r="A18" s="46"/>
      <c r="B18" s="47"/>
      <c r="C18" s="47"/>
      <c r="D18" s="47"/>
      <c r="E18" s="48"/>
    </row>
    <row r="19" spans="1:7" x14ac:dyDescent="0.3">
      <c r="A19" s="46"/>
      <c r="B19" s="47"/>
      <c r="C19" s="47"/>
      <c r="D19" s="47"/>
      <c r="E19" s="48"/>
    </row>
    <row r="20" spans="1:7" x14ac:dyDescent="0.3">
      <c r="A20" s="46"/>
      <c r="B20" s="47"/>
      <c r="C20" s="47"/>
      <c r="D20" s="47"/>
      <c r="E20" s="48"/>
    </row>
    <row r="21" spans="1:7" x14ac:dyDescent="0.3">
      <c r="A21" s="46"/>
      <c r="B21" s="47"/>
      <c r="C21" s="47"/>
      <c r="D21" s="47"/>
      <c r="E21" s="48"/>
    </row>
    <row r="22" spans="1:7" x14ac:dyDescent="0.3">
      <c r="A22" s="46"/>
      <c r="B22" s="47"/>
      <c r="C22" s="47"/>
      <c r="D22" s="47"/>
      <c r="E22" s="48"/>
    </row>
    <row r="23" spans="1:7" x14ac:dyDescent="0.3">
      <c r="A23" s="46"/>
      <c r="B23" s="47"/>
      <c r="C23" s="47"/>
      <c r="D23" s="47"/>
      <c r="E23" s="48"/>
    </row>
    <row r="24" spans="1:7" ht="5.4" customHeight="1" x14ac:dyDescent="0.3">
      <c r="A24" s="44"/>
      <c r="B24" s="45"/>
      <c r="C24" s="45"/>
      <c r="D24" s="45"/>
      <c r="E24" s="45"/>
    </row>
    <row r="25" spans="1:7" x14ac:dyDescent="0.3">
      <c r="A25" s="51" t="s">
        <v>12</v>
      </c>
      <c r="B25" s="81"/>
      <c r="C25" s="82"/>
      <c r="D25" s="83"/>
      <c r="E25" s="57">
        <f>E7*A10</f>
        <v>3268080</v>
      </c>
      <c r="F25" s="7"/>
    </row>
    <row r="26" spans="1:7" x14ac:dyDescent="0.3">
      <c r="A26" s="52" t="s">
        <v>13</v>
      </c>
      <c r="B26" s="53">
        <f>B7*B6</f>
        <v>810000</v>
      </c>
      <c r="C26" s="53">
        <f>C7*C6</f>
        <v>1692000</v>
      </c>
      <c r="D26" s="53">
        <f>D7*D6</f>
        <v>672000</v>
      </c>
      <c r="E26" s="58">
        <f>SUM(B26:D26)</f>
        <v>3174000</v>
      </c>
    </row>
    <row r="27" spans="1:7" x14ac:dyDescent="0.3">
      <c r="A27" s="8"/>
      <c r="B27" s="12"/>
      <c r="C27" s="12"/>
      <c r="D27" s="12"/>
      <c r="E27" s="12"/>
    </row>
    <row r="28" spans="1:7" x14ac:dyDescent="0.3">
      <c r="A28" s="8" t="s">
        <v>14</v>
      </c>
      <c r="B28" s="84"/>
      <c r="C28" s="85"/>
      <c r="D28" s="86"/>
      <c r="E28" s="15">
        <f>3268080-3204000</f>
        <v>64080</v>
      </c>
      <c r="F28" s="7" t="s">
        <v>19</v>
      </c>
      <c r="G28">
        <f>2*32040</f>
        <v>64080</v>
      </c>
    </row>
    <row r="29" spans="1:7" x14ac:dyDescent="0.3">
      <c r="A29" s="8" t="s">
        <v>32</v>
      </c>
      <c r="B29" s="87"/>
      <c r="C29" s="88"/>
      <c r="D29" s="89"/>
      <c r="E29" s="15">
        <f>E26-E25</f>
        <v>-94080</v>
      </c>
      <c r="F29" t="s">
        <v>21</v>
      </c>
    </row>
    <row r="30" spans="1:7" x14ac:dyDescent="0.3">
      <c r="A30" s="8" t="s">
        <v>15</v>
      </c>
      <c r="B30" s="90"/>
      <c r="C30" s="91"/>
      <c r="D30" s="92"/>
      <c r="E30" s="15">
        <f>E15-E26</f>
        <v>100700</v>
      </c>
      <c r="F30" t="s">
        <v>19</v>
      </c>
      <c r="G30">
        <f>(1200*27)+(47*500)+(1600*28)</f>
        <v>100700</v>
      </c>
    </row>
    <row r="31" spans="1:7" x14ac:dyDescent="0.3">
      <c r="A31" s="8"/>
      <c r="B31" s="17">
        <f>SUM(B28:B30)</f>
        <v>0</v>
      </c>
      <c r="C31" s="17">
        <f t="shared" ref="C31:D31" si="4">SUM(C28:C30)</f>
        <v>0</v>
      </c>
      <c r="D31" s="17">
        <f t="shared" si="4"/>
        <v>0</v>
      </c>
      <c r="E31" s="18">
        <f>SUM(E28:E30)</f>
        <v>70700</v>
      </c>
    </row>
  </sheetData>
  <mergeCells count="2">
    <mergeCell ref="B25:D25"/>
    <mergeCell ref="B28:D30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C2DA6-DD64-473B-84F3-59601265E79A}">
  <dimension ref="A2:K59"/>
  <sheetViews>
    <sheetView workbookViewId="0">
      <selection activeCell="C26" sqref="C26"/>
    </sheetView>
  </sheetViews>
  <sheetFormatPr baseColWidth="10" defaultRowHeight="14.4" x14ac:dyDescent="0.3"/>
  <cols>
    <col min="1" max="1" width="22.6640625" customWidth="1"/>
    <col min="2" max="2" width="16.6640625" customWidth="1"/>
    <col min="3" max="3" width="20.33203125" bestFit="1" customWidth="1"/>
    <col min="4" max="4" width="17.109375" customWidth="1"/>
    <col min="5" max="5" width="20.44140625" bestFit="1" customWidth="1"/>
    <col min="7" max="7" width="25.33203125" customWidth="1"/>
    <col min="8" max="8" width="11.88671875" bestFit="1" customWidth="1"/>
    <col min="10" max="10" width="15.33203125" style="5" bestFit="1" customWidth="1"/>
    <col min="11" max="11" width="11.88671875" bestFit="1" customWidth="1"/>
  </cols>
  <sheetData>
    <row r="2" spans="1:11" x14ac:dyDescent="0.3">
      <c r="A2" s="96" t="s">
        <v>54</v>
      </c>
      <c r="B2" s="96"/>
      <c r="C2" s="96"/>
      <c r="D2" s="96"/>
      <c r="E2" s="96"/>
      <c r="F2" s="96"/>
      <c r="G2" s="96"/>
    </row>
    <row r="3" spans="1:11" x14ac:dyDescent="0.3">
      <c r="A3" s="93" t="s">
        <v>33</v>
      </c>
      <c r="B3" s="94" t="s">
        <v>55</v>
      </c>
      <c r="C3" s="94"/>
      <c r="D3" s="94" t="s">
        <v>53</v>
      </c>
      <c r="E3" s="94"/>
      <c r="F3" s="94" t="s">
        <v>34</v>
      </c>
      <c r="G3" s="94"/>
    </row>
    <row r="4" spans="1:11" x14ac:dyDescent="0.3">
      <c r="A4" s="93"/>
      <c r="B4" s="28" t="s">
        <v>56</v>
      </c>
      <c r="C4" s="28" t="s">
        <v>57</v>
      </c>
      <c r="D4" s="28" t="s">
        <v>56</v>
      </c>
      <c r="E4" s="28" t="s">
        <v>58</v>
      </c>
      <c r="F4" s="28" t="s">
        <v>56</v>
      </c>
      <c r="G4" s="28" t="s">
        <v>58</v>
      </c>
      <c r="I4" s="95" t="s">
        <v>5</v>
      </c>
      <c r="J4" s="95"/>
      <c r="K4" s="62" t="s">
        <v>59</v>
      </c>
    </row>
    <row r="5" spans="1:11" x14ac:dyDescent="0.3">
      <c r="A5" s="27" t="s">
        <v>60</v>
      </c>
      <c r="B5" s="8">
        <v>14</v>
      </c>
      <c r="C5" s="63">
        <f>5800*12</f>
        <v>69600</v>
      </c>
      <c r="D5" s="8">
        <v>29</v>
      </c>
      <c r="E5" s="8">
        <f>3500*12</f>
        <v>42000</v>
      </c>
      <c r="F5" s="8">
        <v>68</v>
      </c>
      <c r="G5" s="8">
        <f>2400*12</f>
        <v>28800</v>
      </c>
      <c r="I5" s="8">
        <f t="shared" ref="I5:I7" si="0">F5+D5+B5</f>
        <v>111</v>
      </c>
      <c r="J5" s="9">
        <f>B5*C5+D5*E5+F5*G5</f>
        <v>4150800</v>
      </c>
      <c r="K5" s="8"/>
    </row>
    <row r="6" spans="1:11" x14ac:dyDescent="0.3">
      <c r="A6" s="27" t="s">
        <v>61</v>
      </c>
      <c r="B6" s="8">
        <v>21</v>
      </c>
      <c r="C6" s="63">
        <f>4300*12</f>
        <v>51600</v>
      </c>
      <c r="D6" s="8">
        <v>46</v>
      </c>
      <c r="E6" s="8">
        <f>2900*12</f>
        <v>34800</v>
      </c>
      <c r="F6" s="8">
        <v>89</v>
      </c>
      <c r="G6" s="8">
        <f>2300*12</f>
        <v>27600</v>
      </c>
      <c r="I6" s="8">
        <f t="shared" si="0"/>
        <v>156</v>
      </c>
      <c r="J6" s="9">
        <f t="shared" ref="J6:J7" si="1">B6*C6+D6*E6+F6*G6</f>
        <v>5140800</v>
      </c>
      <c r="K6" s="8"/>
    </row>
    <row r="7" spans="1:11" x14ac:dyDescent="0.3">
      <c r="A7" s="27" t="s">
        <v>62</v>
      </c>
      <c r="B7" s="8">
        <v>7</v>
      </c>
      <c r="C7" s="63">
        <v>43000</v>
      </c>
      <c r="D7" s="8">
        <v>19</v>
      </c>
      <c r="E7" s="8">
        <f>2500*12</f>
        <v>30000</v>
      </c>
      <c r="F7" s="8">
        <v>27</v>
      </c>
      <c r="G7" s="8">
        <f>1900*12</f>
        <v>22800</v>
      </c>
      <c r="I7" s="8">
        <f t="shared" si="0"/>
        <v>53</v>
      </c>
      <c r="J7" s="9">
        <f t="shared" si="1"/>
        <v>1486600</v>
      </c>
      <c r="K7" s="8"/>
    </row>
    <row r="8" spans="1:11" x14ac:dyDescent="0.3">
      <c r="A8" s="8" t="s">
        <v>5</v>
      </c>
      <c r="B8" s="8">
        <f>B5+B6+B7</f>
        <v>42</v>
      </c>
      <c r="C8" s="8"/>
      <c r="D8" s="8">
        <f t="shared" ref="D8:F8" si="2">D5+D6+D7</f>
        <v>94</v>
      </c>
      <c r="E8" s="8"/>
      <c r="F8" s="8">
        <f t="shared" si="2"/>
        <v>184</v>
      </c>
      <c r="G8" s="8"/>
      <c r="I8" s="8">
        <f>F8+D8+B8</f>
        <v>320</v>
      </c>
      <c r="J8" s="9">
        <f>SUM(J5:J7)</f>
        <v>10778200</v>
      </c>
      <c r="K8" s="30">
        <f>J8/I8</f>
        <v>33681.875</v>
      </c>
    </row>
    <row r="9" spans="1:11" ht="15" customHeight="1" x14ac:dyDescent="0.3"/>
    <row r="10" spans="1:11" x14ac:dyDescent="0.3">
      <c r="A10" s="93" t="s">
        <v>38</v>
      </c>
      <c r="B10" s="94" t="s">
        <v>55</v>
      </c>
      <c r="C10" s="94"/>
      <c r="D10" s="94" t="s">
        <v>53</v>
      </c>
      <c r="E10" s="94"/>
      <c r="F10" s="94" t="s">
        <v>34</v>
      </c>
      <c r="G10" s="94"/>
    </row>
    <row r="11" spans="1:11" x14ac:dyDescent="0.3">
      <c r="A11" s="93"/>
      <c r="B11" s="28" t="s">
        <v>56</v>
      </c>
      <c r="C11" s="28" t="s">
        <v>57</v>
      </c>
      <c r="D11" s="28" t="s">
        <v>56</v>
      </c>
      <c r="E11" s="28" t="s">
        <v>58</v>
      </c>
      <c r="F11" s="28" t="s">
        <v>56</v>
      </c>
      <c r="G11" s="28" t="s">
        <v>58</v>
      </c>
      <c r="I11" s="95" t="s">
        <v>5</v>
      </c>
      <c r="J11" s="95"/>
    </row>
    <row r="12" spans="1:11" x14ac:dyDescent="0.3">
      <c r="A12" s="27" t="s">
        <v>60</v>
      </c>
      <c r="B12" s="8">
        <v>21</v>
      </c>
      <c r="C12" s="63">
        <v>68000</v>
      </c>
      <c r="D12" s="8">
        <v>34</v>
      </c>
      <c r="E12" s="8">
        <v>43000</v>
      </c>
      <c r="F12" s="8">
        <v>54</v>
      </c>
      <c r="G12" s="8">
        <v>28900</v>
      </c>
      <c r="I12" s="8">
        <f t="shared" ref="I12:I14" si="3">F12+D12+B12</f>
        <v>109</v>
      </c>
      <c r="J12" s="9">
        <f>B12*C12+D12*E12+F12*G12</f>
        <v>4450600</v>
      </c>
    </row>
    <row r="13" spans="1:11" x14ac:dyDescent="0.3">
      <c r="A13" s="27" t="s">
        <v>61</v>
      </c>
      <c r="B13" s="8">
        <v>29</v>
      </c>
      <c r="C13" s="63">
        <v>50200</v>
      </c>
      <c r="D13" s="8">
        <v>41</v>
      </c>
      <c r="E13" s="8">
        <v>36000</v>
      </c>
      <c r="F13" s="8">
        <v>95</v>
      </c>
      <c r="G13" s="8">
        <v>28000</v>
      </c>
      <c r="I13" s="8">
        <f t="shared" si="3"/>
        <v>165</v>
      </c>
      <c r="J13" s="9">
        <f t="shared" ref="J13:J14" si="4">B13*C13+D13*E13+F13*G13</f>
        <v>5591800</v>
      </c>
    </row>
    <row r="14" spans="1:11" x14ac:dyDescent="0.3">
      <c r="A14" s="27" t="s">
        <v>62</v>
      </c>
      <c r="B14" s="8">
        <v>15</v>
      </c>
      <c r="C14" s="63">
        <v>39000</v>
      </c>
      <c r="D14" s="8">
        <v>17</v>
      </c>
      <c r="E14" s="8">
        <v>30800</v>
      </c>
      <c r="F14" s="8">
        <v>31</v>
      </c>
      <c r="G14" s="8">
        <v>22600</v>
      </c>
      <c r="I14" s="8">
        <f t="shared" si="3"/>
        <v>63</v>
      </c>
      <c r="J14" s="9">
        <f t="shared" si="4"/>
        <v>1809200</v>
      </c>
    </row>
    <row r="15" spans="1:11" x14ac:dyDescent="0.3">
      <c r="A15" s="8" t="s">
        <v>5</v>
      </c>
      <c r="B15" s="8">
        <f>B12+B13+B14</f>
        <v>65</v>
      </c>
      <c r="C15" s="8"/>
      <c r="D15" s="8">
        <f t="shared" ref="D15:F15" si="5">D12+D13+D14</f>
        <v>92</v>
      </c>
      <c r="E15" s="8"/>
      <c r="F15" s="8">
        <f t="shared" si="5"/>
        <v>180</v>
      </c>
      <c r="G15" s="8"/>
      <c r="I15" s="8">
        <f>F15+D15+B15</f>
        <v>337</v>
      </c>
      <c r="J15" s="9">
        <f>SUM(J12:J14)</f>
        <v>11851600</v>
      </c>
    </row>
    <row r="21" spans="1:5" x14ac:dyDescent="0.3">
      <c r="A21" s="64" t="s">
        <v>63</v>
      </c>
      <c r="B21" s="65">
        <f>J15-J8</f>
        <v>1073400</v>
      </c>
      <c r="C21" s="66" t="s">
        <v>64</v>
      </c>
    </row>
    <row r="23" spans="1:5" x14ac:dyDescent="0.3">
      <c r="A23" t="s">
        <v>65</v>
      </c>
    </row>
    <row r="24" spans="1:5" x14ac:dyDescent="0.3">
      <c r="A24" s="54" t="s">
        <v>66</v>
      </c>
      <c r="B24" s="7">
        <f>I15*K8</f>
        <v>11350791.875</v>
      </c>
    </row>
    <row r="26" spans="1:5" x14ac:dyDescent="0.3">
      <c r="A26" t="s">
        <v>67</v>
      </c>
    </row>
    <row r="28" spans="1:5" x14ac:dyDescent="0.3">
      <c r="A28" s="8"/>
      <c r="B28" s="28" t="s">
        <v>35</v>
      </c>
      <c r="C28" s="28" t="s">
        <v>68</v>
      </c>
      <c r="D28" s="28" t="s">
        <v>34</v>
      </c>
      <c r="E28" s="28" t="s">
        <v>5</v>
      </c>
    </row>
    <row r="29" spans="1:5" x14ac:dyDescent="0.3">
      <c r="A29" s="8" t="s">
        <v>8</v>
      </c>
      <c r="B29" s="9">
        <f>(B5*C5+B6*C6+B7*C7)/B8</f>
        <v>56166.666666666664</v>
      </c>
      <c r="C29" s="9">
        <f>(E5*D5+E6*D6+E7*D7)/D8</f>
        <v>36051.063829787236</v>
      </c>
      <c r="D29" s="9">
        <f>(F5*G5+F6*G6+F7*G7)/F8</f>
        <v>27339.130434782608</v>
      </c>
      <c r="E29" s="8"/>
    </row>
    <row r="30" spans="1:5" x14ac:dyDescent="0.3">
      <c r="A30" s="8" t="s">
        <v>69</v>
      </c>
      <c r="B30" s="8">
        <f>B15</f>
        <v>65</v>
      </c>
      <c r="C30" s="8">
        <f>D15</f>
        <v>92</v>
      </c>
      <c r="D30" s="8">
        <f>F15</f>
        <v>180</v>
      </c>
      <c r="E30" s="8"/>
    </row>
    <row r="31" spans="1:5" x14ac:dyDescent="0.3">
      <c r="A31" s="8" t="s">
        <v>5</v>
      </c>
      <c r="B31" s="30">
        <f>B29*B30</f>
        <v>3650833.333333333</v>
      </c>
      <c r="C31" s="30">
        <f>C29*C30</f>
        <v>3316697.8723404258</v>
      </c>
      <c r="D31" s="30">
        <f>D29*D30</f>
        <v>4921043.4782608692</v>
      </c>
      <c r="E31" s="29">
        <f>B31+C31+D31</f>
        <v>11888574.683934629</v>
      </c>
    </row>
    <row r="34" spans="1:5" x14ac:dyDescent="0.3">
      <c r="A34" t="s">
        <v>70</v>
      </c>
      <c r="B34" s="7">
        <f>B24-J8</f>
        <v>572591.875</v>
      </c>
      <c r="C34" t="s">
        <v>36</v>
      </c>
      <c r="D34" s="7"/>
    </row>
    <row r="35" spans="1:5" x14ac:dyDescent="0.3">
      <c r="A35" t="s">
        <v>71</v>
      </c>
      <c r="B35" s="7">
        <f>E31-B24</f>
        <v>537782.80893462896</v>
      </c>
      <c r="C35" t="s">
        <v>36</v>
      </c>
    </row>
    <row r="36" spans="1:5" x14ac:dyDescent="0.3">
      <c r="A36" t="s">
        <v>72</v>
      </c>
      <c r="B36" s="7">
        <f>J15-E31</f>
        <v>-36974.683934628963</v>
      </c>
      <c r="C36" t="s">
        <v>37</v>
      </c>
    </row>
    <row r="37" spans="1:5" x14ac:dyDescent="0.3">
      <c r="B37" s="7">
        <f>SUM(B34:B36)</f>
        <v>1073400</v>
      </c>
    </row>
    <row r="39" spans="1:5" x14ac:dyDescent="0.3">
      <c r="A39" s="67" t="s">
        <v>73</v>
      </c>
      <c r="B39" s="61"/>
      <c r="C39" s="61"/>
      <c r="D39" s="61"/>
    </row>
    <row r="40" spans="1:5" x14ac:dyDescent="0.3">
      <c r="B40" s="61"/>
      <c r="C40" s="61"/>
      <c r="D40" s="61"/>
    </row>
    <row r="41" spans="1:5" x14ac:dyDescent="0.3">
      <c r="A41" s="8"/>
      <c r="B41" s="28" t="s">
        <v>74</v>
      </c>
      <c r="C41" s="28" t="s">
        <v>68</v>
      </c>
      <c r="D41" s="8" t="s">
        <v>34</v>
      </c>
      <c r="E41" s="28" t="s">
        <v>5</v>
      </c>
    </row>
    <row r="42" spans="1:5" x14ac:dyDescent="0.3">
      <c r="A42" s="8" t="s">
        <v>75</v>
      </c>
      <c r="B42" s="9">
        <f>+C5</f>
        <v>69600</v>
      </c>
      <c r="C42" s="9">
        <f>+E5</f>
        <v>42000</v>
      </c>
      <c r="D42" s="8">
        <f>+G5</f>
        <v>28800</v>
      </c>
      <c r="E42" s="8"/>
    </row>
    <row r="43" spans="1:5" x14ac:dyDescent="0.3">
      <c r="A43" s="8" t="s">
        <v>76</v>
      </c>
      <c r="B43" s="8">
        <f>+B12</f>
        <v>21</v>
      </c>
      <c r="C43" s="8">
        <f>+D12</f>
        <v>34</v>
      </c>
      <c r="D43" s="8">
        <f>+F12</f>
        <v>54</v>
      </c>
      <c r="E43" s="8"/>
    </row>
    <row r="44" spans="1:5" x14ac:dyDescent="0.3">
      <c r="A44" s="8" t="s">
        <v>77</v>
      </c>
      <c r="B44" s="63">
        <f>+C6</f>
        <v>51600</v>
      </c>
      <c r="C44" s="8">
        <f>+E6</f>
        <v>34800</v>
      </c>
      <c r="D44" s="8">
        <f>+G6</f>
        <v>27600</v>
      </c>
      <c r="E44" s="8"/>
    </row>
    <row r="45" spans="1:5" x14ac:dyDescent="0.3">
      <c r="A45" s="8" t="s">
        <v>78</v>
      </c>
      <c r="B45" s="8">
        <f>+B13</f>
        <v>29</v>
      </c>
      <c r="C45" s="8">
        <f>+D13</f>
        <v>41</v>
      </c>
      <c r="D45" s="8">
        <f>+F13</f>
        <v>95</v>
      </c>
      <c r="E45" s="8"/>
    </row>
    <row r="46" spans="1:5" x14ac:dyDescent="0.3">
      <c r="A46" s="8" t="s">
        <v>79</v>
      </c>
      <c r="B46" s="9">
        <f>+C7</f>
        <v>43000</v>
      </c>
      <c r="C46" s="9">
        <f>+E7</f>
        <v>30000</v>
      </c>
      <c r="D46" s="8">
        <f>+G7</f>
        <v>22800</v>
      </c>
      <c r="E46" s="8"/>
    </row>
    <row r="47" spans="1:5" x14ac:dyDescent="0.3">
      <c r="A47" s="8" t="s">
        <v>80</v>
      </c>
      <c r="B47" s="8">
        <f>+B14</f>
        <v>15</v>
      </c>
      <c r="C47" s="8">
        <f>+D14</f>
        <v>17</v>
      </c>
      <c r="D47" s="8">
        <f>+F14</f>
        <v>31</v>
      </c>
      <c r="E47" s="8"/>
    </row>
    <row r="48" spans="1:5" x14ac:dyDescent="0.3">
      <c r="A48" s="8" t="s">
        <v>5</v>
      </c>
      <c r="B48" s="30">
        <f>B42*B43+B46*B47+B44*B45</f>
        <v>3603000</v>
      </c>
      <c r="C48" s="30">
        <f t="shared" ref="C48:D48" si="6">C42*C43+C46*C47+C44*C45</f>
        <v>3364800</v>
      </c>
      <c r="D48" s="30">
        <f t="shared" si="6"/>
        <v>4884000</v>
      </c>
      <c r="E48" s="68">
        <f>B48+C48+D48</f>
        <v>11851800</v>
      </c>
    </row>
    <row r="51" spans="1:3" x14ac:dyDescent="0.3">
      <c r="A51" t="s">
        <v>81</v>
      </c>
      <c r="B51" s="7">
        <f>J15-E48</f>
        <v>-200</v>
      </c>
      <c r="C51" t="s">
        <v>36</v>
      </c>
    </row>
    <row r="52" spans="1:3" x14ac:dyDescent="0.3">
      <c r="A52" t="s">
        <v>82</v>
      </c>
      <c r="B52" s="7">
        <f>E48-E31</f>
        <v>-36774.683934628963</v>
      </c>
      <c r="C52" t="s">
        <v>37</v>
      </c>
    </row>
    <row r="54" spans="1:3" x14ac:dyDescent="0.3">
      <c r="A54" s="8"/>
      <c r="B54" s="8" t="s">
        <v>83</v>
      </c>
    </row>
    <row r="55" spans="1:3" x14ac:dyDescent="0.3">
      <c r="A55" s="8" t="s">
        <v>40</v>
      </c>
      <c r="B55" s="69">
        <f>B21/J8</f>
        <v>9.9589912972481487E-2</v>
      </c>
    </row>
    <row r="56" spans="1:3" x14ac:dyDescent="0.3">
      <c r="A56" s="8" t="s">
        <v>84</v>
      </c>
      <c r="B56" s="69">
        <f>B34/J8</f>
        <v>5.3124999999999999E-2</v>
      </c>
    </row>
    <row r="57" spans="1:3" x14ac:dyDescent="0.3">
      <c r="A57" s="8" t="s">
        <v>85</v>
      </c>
      <c r="B57" s="69">
        <f>B35/J8</f>
        <v>4.989541935894945E-2</v>
      </c>
    </row>
    <row r="58" spans="1:3" x14ac:dyDescent="0.3">
      <c r="A58" s="8" t="s">
        <v>86</v>
      </c>
      <c r="B58" s="69">
        <f>B51/J8</f>
        <v>-1.8555974095860161E-5</v>
      </c>
    </row>
    <row r="59" spans="1:3" x14ac:dyDescent="0.3">
      <c r="A59" s="8" t="s">
        <v>87</v>
      </c>
      <c r="B59" s="69">
        <f>B52/J8</f>
        <v>-3.4119504123720995E-3</v>
      </c>
    </row>
  </sheetData>
  <mergeCells count="11">
    <mergeCell ref="I4:J4"/>
    <mergeCell ref="A2:G2"/>
    <mergeCell ref="A3:A4"/>
    <mergeCell ref="B3:C3"/>
    <mergeCell ref="D3:E3"/>
    <mergeCell ref="F3:G3"/>
    <mergeCell ref="A10:A11"/>
    <mergeCell ref="B10:C10"/>
    <mergeCell ref="D10:E10"/>
    <mergeCell ref="F10:G10"/>
    <mergeCell ref="I11:J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5"/>
  <dimension ref="A2:F34"/>
  <sheetViews>
    <sheetView showGridLines="0" zoomScale="148" zoomScaleNormal="148" workbookViewId="0">
      <selection activeCell="D17" sqref="D17"/>
    </sheetView>
  </sheetViews>
  <sheetFormatPr baseColWidth="10" defaultRowHeight="14.4" x14ac:dyDescent="0.3"/>
  <cols>
    <col min="1" max="1" width="14" bestFit="1" customWidth="1"/>
    <col min="2" max="2" width="17.6640625" customWidth="1"/>
    <col min="3" max="3" width="21.44140625" customWidth="1"/>
    <col min="4" max="4" width="16.6640625" customWidth="1"/>
    <col min="5" max="5" width="12.109375" bestFit="1" customWidth="1"/>
  </cols>
  <sheetData>
    <row r="2" spans="1:5" x14ac:dyDescent="0.3">
      <c r="A2" s="97" t="s">
        <v>24</v>
      </c>
      <c r="B2" s="97"/>
      <c r="C2" s="97"/>
      <c r="D2" s="97"/>
    </row>
    <row r="3" spans="1:5" x14ac:dyDescent="0.3">
      <c r="A3" s="8"/>
      <c r="B3" s="8" t="s">
        <v>43</v>
      </c>
      <c r="C3" s="8" t="s">
        <v>44</v>
      </c>
      <c r="D3" s="8" t="s">
        <v>24</v>
      </c>
    </row>
    <row r="4" spans="1:5" x14ac:dyDescent="0.3">
      <c r="A4" s="8" t="s">
        <v>22</v>
      </c>
      <c r="B4" s="3">
        <v>100</v>
      </c>
      <c r="C4" s="3">
        <f>100*1.03*1.02</f>
        <v>105.06</v>
      </c>
      <c r="D4" s="23" t="s">
        <v>25</v>
      </c>
    </row>
    <row r="5" spans="1:5" x14ac:dyDescent="0.3">
      <c r="A5" s="8" t="s">
        <v>23</v>
      </c>
      <c r="B5" s="3">
        <v>100</v>
      </c>
      <c r="C5" s="3">
        <f>B5*1.03</f>
        <v>103</v>
      </c>
      <c r="D5" s="103" t="s">
        <v>41</v>
      </c>
    </row>
    <row r="8" spans="1:5" x14ac:dyDescent="0.3">
      <c r="A8" s="97" t="s">
        <v>26</v>
      </c>
      <c r="B8" s="97"/>
      <c r="C8" s="97"/>
      <c r="D8" s="97"/>
    </row>
    <row r="9" spans="1:5" x14ac:dyDescent="0.3">
      <c r="A9" s="8"/>
      <c r="B9" s="8" t="str">
        <f>+B3</f>
        <v>Indice début N+1</v>
      </c>
      <c r="C9" s="8" t="str">
        <f>+C3</f>
        <v>Indice fin N+1</v>
      </c>
      <c r="D9" s="8" t="s">
        <v>26</v>
      </c>
    </row>
    <row r="10" spans="1:5" x14ac:dyDescent="0.3">
      <c r="A10" s="8" t="s">
        <v>22</v>
      </c>
      <c r="B10" s="3">
        <v>100</v>
      </c>
      <c r="C10" s="3">
        <f>((100*1.03*6)+(103*1.02*6))/12</f>
        <v>104.03000000000002</v>
      </c>
      <c r="D10" s="23" t="s">
        <v>27</v>
      </c>
    </row>
    <row r="11" spans="1:5" x14ac:dyDescent="0.3">
      <c r="A11" s="8" t="s">
        <v>23</v>
      </c>
      <c r="B11" s="3">
        <v>100</v>
      </c>
      <c r="C11" s="3">
        <f>B11*1.03</f>
        <v>103</v>
      </c>
      <c r="D11" s="103" t="s">
        <v>41</v>
      </c>
    </row>
    <row r="14" spans="1:5" x14ac:dyDescent="0.3">
      <c r="A14" s="97" t="s">
        <v>45</v>
      </c>
      <c r="B14" s="97"/>
      <c r="C14" s="97"/>
      <c r="D14" s="97"/>
    </row>
    <row r="15" spans="1:5" x14ac:dyDescent="0.3">
      <c r="A15" s="8"/>
      <c r="B15" s="8" t="s">
        <v>24</v>
      </c>
      <c r="C15" s="8" t="s">
        <v>26</v>
      </c>
      <c r="D15" s="8" t="s">
        <v>28</v>
      </c>
    </row>
    <row r="16" spans="1:5" x14ac:dyDescent="0.3">
      <c r="A16" s="8" t="s">
        <v>22</v>
      </c>
      <c r="B16" s="3">
        <f>C4</f>
        <v>105.06</v>
      </c>
      <c r="C16" s="3">
        <f>C10</f>
        <v>104.03000000000002</v>
      </c>
      <c r="D16" s="25">
        <f>(B16/C16)</f>
        <v>1.0099009900990097</v>
      </c>
      <c r="E16" s="40">
        <v>9.9000000000000008E-3</v>
      </c>
    </row>
    <row r="17" spans="1:5" x14ac:dyDescent="0.3">
      <c r="A17" s="8" t="s">
        <v>23</v>
      </c>
      <c r="B17" s="3">
        <f>C5</f>
        <v>103</v>
      </c>
      <c r="C17" s="3">
        <f>C11</f>
        <v>103</v>
      </c>
      <c r="D17" s="25">
        <f t="shared" ref="D17" si="0">(B17/C17)</f>
        <v>1</v>
      </c>
      <c r="E17" s="41">
        <v>0</v>
      </c>
    </row>
    <row r="18" spans="1:5" x14ac:dyDescent="0.3">
      <c r="D18" s="24"/>
    </row>
    <row r="20" spans="1:5" x14ac:dyDescent="0.3">
      <c r="A20" t="s">
        <v>50</v>
      </c>
    </row>
    <row r="21" spans="1:5" x14ac:dyDescent="0.3">
      <c r="A21" s="59">
        <v>2000</v>
      </c>
      <c r="C21" s="4" t="s">
        <v>48</v>
      </c>
      <c r="D21" s="4" t="s">
        <v>42</v>
      </c>
      <c r="E21" s="4" t="s">
        <v>47</v>
      </c>
    </row>
    <row r="22" spans="1:5" x14ac:dyDescent="0.3">
      <c r="A22" s="54" t="s">
        <v>46</v>
      </c>
      <c r="C22" s="4">
        <v>1</v>
      </c>
      <c r="D22" s="19">
        <f>2000*1.03</f>
        <v>2060</v>
      </c>
      <c r="E22" s="20">
        <f>D33</f>
        <v>2060</v>
      </c>
    </row>
    <row r="23" spans="1:5" x14ac:dyDescent="0.3">
      <c r="C23" s="4">
        <v>2</v>
      </c>
      <c r="D23" s="19">
        <f>D22</f>
        <v>2060</v>
      </c>
      <c r="E23" s="20">
        <f>E22</f>
        <v>2060</v>
      </c>
    </row>
    <row r="24" spans="1:5" x14ac:dyDescent="0.3">
      <c r="C24" s="4">
        <v>3</v>
      </c>
      <c r="D24" s="19">
        <f t="shared" ref="D24:E27" si="1">D23</f>
        <v>2060</v>
      </c>
      <c r="E24" s="20">
        <f t="shared" si="1"/>
        <v>2060</v>
      </c>
    </row>
    <row r="25" spans="1:5" x14ac:dyDescent="0.3">
      <c r="C25" s="4">
        <v>4</v>
      </c>
      <c r="D25" s="19">
        <f t="shared" si="1"/>
        <v>2060</v>
      </c>
      <c r="E25" s="20">
        <f t="shared" si="1"/>
        <v>2060</v>
      </c>
    </row>
    <row r="26" spans="1:5" x14ac:dyDescent="0.3">
      <c r="C26" s="4">
        <v>5</v>
      </c>
      <c r="D26" s="19">
        <f t="shared" si="1"/>
        <v>2060</v>
      </c>
      <c r="E26" s="20">
        <f t="shared" si="1"/>
        <v>2060</v>
      </c>
    </row>
    <row r="27" spans="1:5" x14ac:dyDescent="0.3">
      <c r="C27" s="4">
        <v>6</v>
      </c>
      <c r="D27" s="19">
        <f t="shared" si="1"/>
        <v>2060</v>
      </c>
      <c r="E27" s="20">
        <f t="shared" si="1"/>
        <v>2060</v>
      </c>
    </row>
    <row r="28" spans="1:5" x14ac:dyDescent="0.3">
      <c r="A28" s="54" t="s">
        <v>49</v>
      </c>
      <c r="C28" s="4">
        <v>7</v>
      </c>
      <c r="D28" s="19">
        <f t="shared" ref="D28" si="2">D27</f>
        <v>2060</v>
      </c>
      <c r="E28" s="20">
        <f t="shared" ref="E28:E33" si="3">E27</f>
        <v>2060</v>
      </c>
    </row>
    <row r="29" spans="1:5" x14ac:dyDescent="0.3">
      <c r="C29" s="4">
        <v>8</v>
      </c>
      <c r="D29" s="19">
        <f t="shared" ref="D29" si="4">D28</f>
        <v>2060</v>
      </c>
      <c r="E29" s="20">
        <f t="shared" si="3"/>
        <v>2060</v>
      </c>
    </row>
    <row r="30" spans="1:5" x14ac:dyDescent="0.3">
      <c r="C30" s="4">
        <v>9</v>
      </c>
      <c r="D30" s="19">
        <f t="shared" ref="D30" si="5">D29</f>
        <v>2060</v>
      </c>
      <c r="E30" s="20">
        <f t="shared" si="3"/>
        <v>2060</v>
      </c>
    </row>
    <row r="31" spans="1:5" x14ac:dyDescent="0.3">
      <c r="C31" s="4">
        <v>10</v>
      </c>
      <c r="D31" s="19">
        <f t="shared" ref="D31" si="6">D30</f>
        <v>2060</v>
      </c>
      <c r="E31" s="20">
        <f t="shared" si="3"/>
        <v>2060</v>
      </c>
    </row>
    <row r="32" spans="1:5" x14ac:dyDescent="0.3">
      <c r="C32" s="4">
        <v>11</v>
      </c>
      <c r="D32" s="19">
        <f t="shared" ref="D32" si="7">D31</f>
        <v>2060</v>
      </c>
      <c r="E32" s="20">
        <f t="shared" si="3"/>
        <v>2060</v>
      </c>
    </row>
    <row r="33" spans="3:6" x14ac:dyDescent="0.3">
      <c r="C33" s="4">
        <v>12</v>
      </c>
      <c r="D33" s="19">
        <f t="shared" ref="D33" si="8">D32</f>
        <v>2060</v>
      </c>
      <c r="E33" s="20">
        <f t="shared" si="3"/>
        <v>2060</v>
      </c>
    </row>
    <row r="34" spans="3:6" x14ac:dyDescent="0.3">
      <c r="C34" s="4" t="s">
        <v>5</v>
      </c>
      <c r="D34" s="60">
        <f>SUM(D22:D33)</f>
        <v>24720</v>
      </c>
      <c r="E34" s="60">
        <f>SUM(E22:E33)</f>
        <v>24720</v>
      </c>
      <c r="F34">
        <f>E34/D34</f>
        <v>1</v>
      </c>
    </row>
  </sheetData>
  <mergeCells count="3">
    <mergeCell ref="A2:D2"/>
    <mergeCell ref="A8:D8"/>
    <mergeCell ref="A14:D14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48D02-A26C-477C-9C37-015C747A6144}">
  <dimension ref="A2:H21"/>
  <sheetViews>
    <sheetView workbookViewId="0">
      <selection activeCell="D23" sqref="D23"/>
    </sheetView>
  </sheetViews>
  <sheetFormatPr baseColWidth="10" defaultRowHeight="14.4" x14ac:dyDescent="0.3"/>
  <cols>
    <col min="1" max="1" width="27.77734375" customWidth="1"/>
  </cols>
  <sheetData>
    <row r="2" spans="1:8" x14ac:dyDescent="0.3">
      <c r="B2" s="59">
        <f>B3*12</f>
        <v>30000</v>
      </c>
      <c r="C2">
        <f>C3*12</f>
        <v>36000</v>
      </c>
    </row>
    <row r="3" spans="1:8" x14ac:dyDescent="0.3">
      <c r="A3" t="s">
        <v>106</v>
      </c>
      <c r="B3" s="59">
        <v>2500</v>
      </c>
      <c r="C3">
        <v>3000</v>
      </c>
    </row>
    <row r="4" spans="1:8" x14ac:dyDescent="0.3">
      <c r="B4" s="98" t="s">
        <v>42</v>
      </c>
      <c r="C4" s="98"/>
      <c r="G4" s="98" t="s">
        <v>47</v>
      </c>
      <c r="H4" s="98"/>
    </row>
    <row r="5" spans="1:8" x14ac:dyDescent="0.3">
      <c r="B5" t="s">
        <v>22</v>
      </c>
      <c r="C5" t="s">
        <v>119</v>
      </c>
      <c r="G5" t="s">
        <v>22</v>
      </c>
      <c r="H5" t="s">
        <v>119</v>
      </c>
    </row>
    <row r="6" spans="1:8" x14ac:dyDescent="0.3">
      <c r="A6" t="s">
        <v>107</v>
      </c>
      <c r="B6" s="59">
        <f>B3*1.03</f>
        <v>2575</v>
      </c>
      <c r="C6">
        <f>C3*1.03</f>
        <v>3090</v>
      </c>
      <c r="F6" t="s">
        <v>107</v>
      </c>
      <c r="G6" s="59">
        <f>B17</f>
        <v>2626.5</v>
      </c>
      <c r="H6">
        <f>C17</f>
        <v>3090</v>
      </c>
    </row>
    <row r="7" spans="1:8" x14ac:dyDescent="0.3">
      <c r="A7" t="s">
        <v>108</v>
      </c>
      <c r="B7" s="59">
        <f>B6</f>
        <v>2575</v>
      </c>
      <c r="C7">
        <f>C6</f>
        <v>3090</v>
      </c>
      <c r="F7" t="s">
        <v>108</v>
      </c>
      <c r="G7" s="59">
        <f>G6</f>
        <v>2626.5</v>
      </c>
      <c r="H7">
        <f>H6</f>
        <v>3090</v>
      </c>
    </row>
    <row r="8" spans="1:8" x14ac:dyDescent="0.3">
      <c r="A8" t="s">
        <v>109</v>
      </c>
      <c r="B8" s="59">
        <f t="shared" ref="B8:B11" si="0">B7</f>
        <v>2575</v>
      </c>
      <c r="C8">
        <f t="shared" ref="C8:C17" si="1">C7</f>
        <v>3090</v>
      </c>
      <c r="F8" t="s">
        <v>109</v>
      </c>
      <c r="G8" s="59">
        <f t="shared" ref="G8:G11" si="2">G7</f>
        <v>2626.5</v>
      </c>
      <c r="H8">
        <f t="shared" ref="H8:H17" si="3">H7</f>
        <v>3090</v>
      </c>
    </row>
    <row r="9" spans="1:8" x14ac:dyDescent="0.3">
      <c r="A9" t="s">
        <v>110</v>
      </c>
      <c r="B9" s="59">
        <f t="shared" si="0"/>
        <v>2575</v>
      </c>
      <c r="C9">
        <f t="shared" si="1"/>
        <v>3090</v>
      </c>
      <c r="F9" t="s">
        <v>110</v>
      </c>
      <c r="G9" s="59">
        <f t="shared" si="2"/>
        <v>2626.5</v>
      </c>
      <c r="H9">
        <f t="shared" si="3"/>
        <v>3090</v>
      </c>
    </row>
    <row r="10" spans="1:8" x14ac:dyDescent="0.3">
      <c r="A10" t="s">
        <v>111</v>
      </c>
      <c r="B10" s="59">
        <f t="shared" si="0"/>
        <v>2575</v>
      </c>
      <c r="C10">
        <f t="shared" si="1"/>
        <v>3090</v>
      </c>
      <c r="F10" t="s">
        <v>111</v>
      </c>
      <c r="G10" s="59">
        <f t="shared" si="2"/>
        <v>2626.5</v>
      </c>
      <c r="H10">
        <f t="shared" si="3"/>
        <v>3090</v>
      </c>
    </row>
    <row r="11" spans="1:8" x14ac:dyDescent="0.3">
      <c r="A11" t="s">
        <v>112</v>
      </c>
      <c r="B11" s="59">
        <f t="shared" si="0"/>
        <v>2575</v>
      </c>
      <c r="C11">
        <f t="shared" si="1"/>
        <v>3090</v>
      </c>
      <c r="F11" t="s">
        <v>112</v>
      </c>
      <c r="G11" s="59">
        <f t="shared" si="2"/>
        <v>2626.5</v>
      </c>
      <c r="H11">
        <f t="shared" si="3"/>
        <v>3090</v>
      </c>
    </row>
    <row r="12" spans="1:8" x14ac:dyDescent="0.3">
      <c r="A12" t="s">
        <v>113</v>
      </c>
      <c r="B12" s="59">
        <f>B11*1.02</f>
        <v>2626.5</v>
      </c>
      <c r="C12">
        <f t="shared" si="1"/>
        <v>3090</v>
      </c>
      <c r="F12" t="s">
        <v>113</v>
      </c>
      <c r="G12" s="59">
        <f>G11</f>
        <v>2626.5</v>
      </c>
      <c r="H12">
        <f t="shared" si="3"/>
        <v>3090</v>
      </c>
    </row>
    <row r="13" spans="1:8" x14ac:dyDescent="0.3">
      <c r="A13" t="s">
        <v>114</v>
      </c>
      <c r="B13" s="59">
        <f>B12</f>
        <v>2626.5</v>
      </c>
      <c r="C13">
        <f t="shared" si="1"/>
        <v>3090</v>
      </c>
      <c r="F13" t="s">
        <v>114</v>
      </c>
      <c r="G13" s="59">
        <f>G12</f>
        <v>2626.5</v>
      </c>
      <c r="H13">
        <f t="shared" si="3"/>
        <v>3090</v>
      </c>
    </row>
    <row r="14" spans="1:8" x14ac:dyDescent="0.3">
      <c r="A14" t="s">
        <v>115</v>
      </c>
      <c r="B14" s="59">
        <f t="shared" ref="B14:B17" si="4">B13</f>
        <v>2626.5</v>
      </c>
      <c r="C14">
        <f t="shared" si="1"/>
        <v>3090</v>
      </c>
      <c r="F14" t="s">
        <v>115</v>
      </c>
      <c r="G14" s="59">
        <f t="shared" ref="G14:G17" si="5">G13</f>
        <v>2626.5</v>
      </c>
      <c r="H14">
        <f t="shared" si="3"/>
        <v>3090</v>
      </c>
    </row>
    <row r="15" spans="1:8" x14ac:dyDescent="0.3">
      <c r="A15" t="s">
        <v>116</v>
      </c>
      <c r="B15" s="59">
        <f t="shared" si="4"/>
        <v>2626.5</v>
      </c>
      <c r="C15">
        <f t="shared" si="1"/>
        <v>3090</v>
      </c>
      <c r="F15" t="s">
        <v>116</v>
      </c>
      <c r="G15" s="59">
        <f t="shared" si="5"/>
        <v>2626.5</v>
      </c>
      <c r="H15">
        <f t="shared" si="3"/>
        <v>3090</v>
      </c>
    </row>
    <row r="16" spans="1:8" x14ac:dyDescent="0.3">
      <c r="A16" t="s">
        <v>117</v>
      </c>
      <c r="B16" s="59">
        <f t="shared" si="4"/>
        <v>2626.5</v>
      </c>
      <c r="C16">
        <f t="shared" si="1"/>
        <v>3090</v>
      </c>
      <c r="F16" t="s">
        <v>117</v>
      </c>
      <c r="G16" s="59">
        <f t="shared" si="5"/>
        <v>2626.5</v>
      </c>
      <c r="H16">
        <f t="shared" si="3"/>
        <v>3090</v>
      </c>
    </row>
    <row r="17" spans="1:8" x14ac:dyDescent="0.3">
      <c r="A17" t="s">
        <v>118</v>
      </c>
      <c r="B17" s="59">
        <f t="shared" si="4"/>
        <v>2626.5</v>
      </c>
      <c r="C17">
        <f t="shared" si="1"/>
        <v>3090</v>
      </c>
      <c r="F17" t="s">
        <v>118</v>
      </c>
      <c r="G17" s="59">
        <f t="shared" si="5"/>
        <v>2626.5</v>
      </c>
      <c r="H17">
        <f t="shared" si="3"/>
        <v>3090</v>
      </c>
    </row>
    <row r="19" spans="1:8" x14ac:dyDescent="0.3">
      <c r="A19" t="s">
        <v>120</v>
      </c>
      <c r="B19" s="59">
        <f>SUM(B6:B17)</f>
        <v>31209</v>
      </c>
      <c r="C19" s="59">
        <f>SUM(C6:C17)</f>
        <v>37080</v>
      </c>
      <c r="G19" s="59">
        <f>SUM(G6:G17)</f>
        <v>31518</v>
      </c>
      <c r="H19" s="59">
        <f>SUM(H6:H17)</f>
        <v>37080</v>
      </c>
    </row>
    <row r="21" spans="1:8" x14ac:dyDescent="0.3">
      <c r="A21" t="s">
        <v>26</v>
      </c>
      <c r="B21">
        <f>B19/B2</f>
        <v>1.0403</v>
      </c>
      <c r="C21">
        <f>C19/C2</f>
        <v>1.03</v>
      </c>
      <c r="G21">
        <f>G19/B19</f>
        <v>1.0099009900990099</v>
      </c>
      <c r="H21">
        <f>H19/C19</f>
        <v>1</v>
      </c>
    </row>
  </sheetData>
  <mergeCells count="2">
    <mergeCell ref="B4:C4"/>
    <mergeCell ref="G4:H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19E98-2E03-41F6-A612-3A2B39B7F2C0}">
  <dimension ref="A3:G22"/>
  <sheetViews>
    <sheetView showGridLines="0" tabSelected="1" topLeftCell="A10" zoomScale="150" zoomScaleNormal="150" workbookViewId="0">
      <selection activeCell="C22" sqref="C22"/>
    </sheetView>
  </sheetViews>
  <sheetFormatPr baseColWidth="10" defaultRowHeight="14.4" x14ac:dyDescent="0.3"/>
  <cols>
    <col min="1" max="1" width="25.77734375" customWidth="1"/>
    <col min="2" max="3" width="12.21875" bestFit="1" customWidth="1"/>
    <col min="7" max="7" width="11.88671875" bestFit="1" customWidth="1"/>
  </cols>
  <sheetData>
    <row r="3" spans="1:7" x14ac:dyDescent="0.3">
      <c r="A3" s="104"/>
      <c r="B3" s="105" t="s">
        <v>51</v>
      </c>
      <c r="C3" s="105" t="s">
        <v>52</v>
      </c>
    </row>
    <row r="4" spans="1:7" x14ac:dyDescent="0.3">
      <c r="A4" s="104" t="s">
        <v>102</v>
      </c>
      <c r="B4" s="10">
        <f>1800*1.03</f>
        <v>1854</v>
      </c>
      <c r="C4" s="10">
        <f>1800*1.01*1.025</f>
        <v>1863.4499999999998</v>
      </c>
    </row>
    <row r="5" spans="1:7" x14ac:dyDescent="0.3">
      <c r="A5" s="104" t="s">
        <v>103</v>
      </c>
      <c r="B5" s="10">
        <f>1800*5+1800*1.03*7</f>
        <v>21978</v>
      </c>
      <c r="C5" s="10">
        <f>1800*1.01*10+(1800*1.01*1.025*2)</f>
        <v>21906.9</v>
      </c>
    </row>
    <row r="6" spans="1:7" ht="5.4" customHeight="1" x14ac:dyDescent="0.3"/>
    <row r="7" spans="1:7" ht="40.200000000000003" customHeight="1" x14ac:dyDescent="0.3">
      <c r="E7" s="7">
        <f>C5-B5</f>
        <v>-71.099999999998545</v>
      </c>
    </row>
    <row r="8" spans="1:7" ht="14.4" customHeight="1" x14ac:dyDescent="0.3"/>
    <row r="9" spans="1:7" x14ac:dyDescent="0.3">
      <c r="A9" s="106" t="s">
        <v>24</v>
      </c>
      <c r="B9" s="107">
        <f>B4/1800</f>
        <v>1.03</v>
      </c>
      <c r="C9" s="107">
        <f>1863.45/1800</f>
        <v>1.03525</v>
      </c>
      <c r="F9" t="s">
        <v>123</v>
      </c>
      <c r="G9">
        <f>1800*12</f>
        <v>21600</v>
      </c>
    </row>
    <row r="10" spans="1:7" x14ac:dyDescent="0.3">
      <c r="A10" s="106" t="s">
        <v>122</v>
      </c>
      <c r="B10" s="111">
        <f>B5/12</f>
        <v>1831.5</v>
      </c>
      <c r="C10" s="111">
        <f>C5/12</f>
        <v>1825.575</v>
      </c>
      <c r="F10" t="s">
        <v>123</v>
      </c>
      <c r="G10" s="7">
        <f>B5</f>
        <v>21978</v>
      </c>
    </row>
    <row r="11" spans="1:7" x14ac:dyDescent="0.3">
      <c r="A11" s="106" t="s">
        <v>26</v>
      </c>
      <c r="B11" s="107">
        <f>B10/1800</f>
        <v>1.0175000000000001</v>
      </c>
      <c r="C11" s="107">
        <f>C10/1800</f>
        <v>1.0142083333333334</v>
      </c>
      <c r="G11" s="112">
        <f>G10/G9</f>
        <v>1.0175000000000001</v>
      </c>
    </row>
    <row r="12" spans="1:7" x14ac:dyDescent="0.3">
      <c r="B12" s="40">
        <v>1.7500000000000002E-2</v>
      </c>
      <c r="C12" s="40">
        <v>1.4200000000000001E-2</v>
      </c>
    </row>
    <row r="14" spans="1:7" x14ac:dyDescent="0.3">
      <c r="A14" s="8" t="s">
        <v>121</v>
      </c>
      <c r="B14" s="8"/>
      <c r="C14" s="8" t="s">
        <v>52</v>
      </c>
    </row>
    <row r="15" spans="1:7" x14ac:dyDescent="0.3">
      <c r="A15" s="46"/>
      <c r="B15" s="46"/>
      <c r="C15" s="46"/>
    </row>
    <row r="17" spans="1:5" x14ac:dyDescent="0.3">
      <c r="A17" s="106" t="s">
        <v>28</v>
      </c>
      <c r="B17" s="106">
        <f>B9/B11</f>
        <v>1.0122850122850122</v>
      </c>
      <c r="C17" s="106">
        <f>C9/C11</f>
        <v>1.0207468879668049</v>
      </c>
    </row>
    <row r="18" spans="1:5" x14ac:dyDescent="0.3">
      <c r="B18" s="40">
        <f>B17-1</f>
        <v>1.228501228501222E-2</v>
      </c>
      <c r="C18" s="40">
        <f>C17-1</f>
        <v>2.0746887966804906E-2</v>
      </c>
    </row>
    <row r="19" spans="1:5" x14ac:dyDescent="0.3">
      <c r="A19" t="s">
        <v>104</v>
      </c>
    </row>
    <row r="21" spans="1:5" x14ac:dyDescent="0.3">
      <c r="A21" s="108"/>
      <c r="B21" s="109" t="s">
        <v>51</v>
      </c>
      <c r="C21" s="109" t="s">
        <v>52</v>
      </c>
    </row>
    <row r="22" spans="1:5" x14ac:dyDescent="0.3">
      <c r="A22" s="108" t="s">
        <v>105</v>
      </c>
      <c r="B22" s="110">
        <f>B4*12</f>
        <v>22248</v>
      </c>
      <c r="C22" s="110">
        <f>C4*12</f>
        <v>22361.399999999998</v>
      </c>
      <c r="E22" s="7">
        <f>C22-B22</f>
        <v>113.39999999999782</v>
      </c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74612-A6FD-4277-885B-B8449A1AD112}">
  <dimension ref="A3:G27"/>
  <sheetViews>
    <sheetView workbookViewId="0">
      <selection activeCell="I14" sqref="I14"/>
    </sheetView>
  </sheetViews>
  <sheetFormatPr baseColWidth="10" defaultRowHeight="14.4" x14ac:dyDescent="0.3"/>
  <cols>
    <col min="1" max="1" width="15.6640625" customWidth="1"/>
    <col min="3" max="3" width="14.6640625" customWidth="1"/>
    <col min="5" max="5" width="15.33203125" customWidth="1"/>
    <col min="7" max="7" width="14.33203125" customWidth="1"/>
    <col min="9" max="9" width="17.33203125" customWidth="1"/>
    <col min="13" max="13" width="15.109375" customWidth="1"/>
  </cols>
  <sheetData>
    <row r="3" spans="1:7" x14ac:dyDescent="0.3">
      <c r="A3" s="8"/>
      <c r="B3" s="99" t="s">
        <v>24</v>
      </c>
      <c r="C3" s="99"/>
      <c r="D3" s="99" t="s">
        <v>26</v>
      </c>
      <c r="E3" s="99"/>
      <c r="F3" s="99" t="s">
        <v>28</v>
      </c>
      <c r="G3" s="99"/>
    </row>
    <row r="4" spans="1:7" ht="28.8" x14ac:dyDescent="0.3">
      <c r="B4" s="70" t="s">
        <v>88</v>
      </c>
      <c r="C4" s="70" t="s">
        <v>89</v>
      </c>
      <c r="D4" s="70" t="s">
        <v>88</v>
      </c>
      <c r="E4" s="70" t="s">
        <v>89</v>
      </c>
      <c r="F4" s="70" t="s">
        <v>88</v>
      </c>
      <c r="G4" s="70" t="s">
        <v>89</v>
      </c>
    </row>
    <row r="5" spans="1:7" x14ac:dyDescent="0.3">
      <c r="A5" s="8" t="s">
        <v>35</v>
      </c>
      <c r="B5" s="71">
        <f>100*1.01*1.0075/100</f>
        <v>1.0175750000000001</v>
      </c>
      <c r="C5" s="72">
        <f>B5-1</f>
        <v>1.7575000000000118E-2</v>
      </c>
      <c r="D5" s="71">
        <f>((100*6+100*4*1.01+(101*1.0075*2)))/1200</f>
        <v>1.0062625000000001</v>
      </c>
      <c r="E5" s="73">
        <f>D5-1</f>
        <v>6.2625000000000597E-3</v>
      </c>
      <c r="F5" s="71">
        <f>B5/D5</f>
        <v>1.0112420963714737</v>
      </c>
      <c r="G5" s="72">
        <f>F5-1</f>
        <v>1.1242096371473664E-2</v>
      </c>
    </row>
    <row r="6" spans="1:7" x14ac:dyDescent="0.3">
      <c r="A6" s="8" t="s">
        <v>90</v>
      </c>
      <c r="B6" s="71">
        <f>100*1.0275*1.01/100</f>
        <v>1.0377750000000001</v>
      </c>
      <c r="C6" s="72">
        <f>B6-1</f>
        <v>3.7775000000000114E-2</v>
      </c>
      <c r="D6" s="71">
        <f>((100*6+(100*1.0275*4)+(102.75*1.01*2)))/1200</f>
        <v>1.0154625000000002</v>
      </c>
      <c r="E6" s="73">
        <f>D6-1</f>
        <v>1.5462500000000157E-2</v>
      </c>
      <c r="F6" s="71">
        <f>B6/D6</f>
        <v>1.0219727464086561</v>
      </c>
      <c r="G6" s="72">
        <f>F6-1</f>
        <v>2.1972746408656096E-2</v>
      </c>
    </row>
    <row r="12" spans="1:7" x14ac:dyDescent="0.3">
      <c r="A12" s="100" t="s">
        <v>91</v>
      </c>
      <c r="B12" s="100"/>
      <c r="C12" s="100"/>
      <c r="D12" s="100"/>
      <c r="E12" s="100"/>
    </row>
    <row r="13" spans="1:7" x14ac:dyDescent="0.3">
      <c r="A13" s="3" t="s">
        <v>92</v>
      </c>
      <c r="B13" s="74">
        <v>4782</v>
      </c>
      <c r="C13" s="8" t="s">
        <v>93</v>
      </c>
      <c r="D13" s="75">
        <v>4782</v>
      </c>
      <c r="E13" s="3" t="s">
        <v>94</v>
      </c>
    </row>
    <row r="14" spans="1:7" x14ac:dyDescent="0.3">
      <c r="A14" s="3" t="s">
        <v>95</v>
      </c>
      <c r="B14" s="74">
        <f>4782*1.01</f>
        <v>4829.82</v>
      </c>
      <c r="C14" s="8" t="s">
        <v>96</v>
      </c>
      <c r="D14" s="101">
        <f>(4830*4+4866*2)/6</f>
        <v>4842</v>
      </c>
      <c r="E14" s="102" t="s">
        <v>97</v>
      </c>
    </row>
    <row r="15" spans="1:7" x14ac:dyDescent="0.3">
      <c r="A15" s="3" t="s">
        <v>98</v>
      </c>
      <c r="B15" s="74">
        <f>B14*1.0075</f>
        <v>4866.0436499999996</v>
      </c>
      <c r="C15" s="8" t="s">
        <v>99</v>
      </c>
      <c r="D15" s="101"/>
      <c r="E15" s="102"/>
    </row>
    <row r="20" spans="1:5" x14ac:dyDescent="0.3">
      <c r="A20" s="100" t="s">
        <v>100</v>
      </c>
      <c r="B20" s="100"/>
      <c r="C20" s="100"/>
      <c r="D20" s="100"/>
      <c r="E20" s="100"/>
    </row>
    <row r="21" spans="1:5" x14ac:dyDescent="0.3">
      <c r="A21" s="3" t="s">
        <v>92</v>
      </c>
      <c r="B21" s="74">
        <v>13692</v>
      </c>
      <c r="C21" s="8" t="s">
        <v>93</v>
      </c>
      <c r="D21" s="76">
        <f>+B21</f>
        <v>13692</v>
      </c>
      <c r="E21" s="3" t="s">
        <v>94</v>
      </c>
    </row>
    <row r="22" spans="1:5" x14ac:dyDescent="0.3">
      <c r="A22" s="3" t="s">
        <v>95</v>
      </c>
      <c r="B22" s="74">
        <f>B21*1.0275</f>
        <v>14068.53</v>
      </c>
      <c r="C22" s="8" t="s">
        <v>96</v>
      </c>
      <c r="D22" s="101">
        <f>((B23*2)+(B22*4))/6</f>
        <v>14115.4251</v>
      </c>
      <c r="E22" s="102" t="s">
        <v>97</v>
      </c>
    </row>
    <row r="23" spans="1:5" x14ac:dyDescent="0.3">
      <c r="A23" s="3" t="s">
        <v>98</v>
      </c>
      <c r="B23" s="74">
        <f>B22*1.01</f>
        <v>14209.215300000002</v>
      </c>
      <c r="C23" s="8" t="s">
        <v>99</v>
      </c>
      <c r="D23" s="101"/>
      <c r="E23" s="102"/>
    </row>
    <row r="25" spans="1:5" x14ac:dyDescent="0.3">
      <c r="A25" s="100" t="s">
        <v>101</v>
      </c>
      <c r="B25" s="100"/>
      <c r="C25" s="100"/>
      <c r="D25" s="100"/>
      <c r="E25" s="100"/>
    </row>
    <row r="26" spans="1:5" x14ac:dyDescent="0.3">
      <c r="A26" s="3" t="s">
        <v>92</v>
      </c>
      <c r="B26" s="74">
        <f>+B23</f>
        <v>14209.215300000002</v>
      </c>
      <c r="C26" s="8" t="s">
        <v>93</v>
      </c>
      <c r="D26" s="76">
        <f>+B26</f>
        <v>14209.215300000002</v>
      </c>
      <c r="E26" s="3" t="s">
        <v>94</v>
      </c>
    </row>
    <row r="27" spans="1:5" x14ac:dyDescent="0.3">
      <c r="A27" s="3" t="s">
        <v>95</v>
      </c>
      <c r="B27" s="74">
        <f>+B26*1.015</f>
        <v>14422.3535295</v>
      </c>
      <c r="C27" s="8" t="s">
        <v>93</v>
      </c>
      <c r="D27" s="77">
        <f>+B27</f>
        <v>14422.3535295</v>
      </c>
      <c r="E27" s="78" t="s">
        <v>97</v>
      </c>
    </row>
  </sheetData>
  <mergeCells count="10">
    <mergeCell ref="D22:D23"/>
    <mergeCell ref="E22:E23"/>
    <mergeCell ref="A25:E25"/>
    <mergeCell ref="B3:C3"/>
    <mergeCell ref="D3:E3"/>
    <mergeCell ref="F3:G3"/>
    <mergeCell ref="A12:E12"/>
    <mergeCell ref="D14:D15"/>
    <mergeCell ref="E14:E15"/>
    <mergeCell ref="A20:E20"/>
  </mergeCells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b6f2b70-d5a1-4544-a145-5b4293f1365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529F2146C75048A695AB3F03D98EF9" ma:contentTypeVersion="12" ma:contentTypeDescription="Crée un document." ma:contentTypeScope="" ma:versionID="593fe474a2b626ff8fae06f532e25cf9">
  <xsd:schema xmlns:xsd="http://www.w3.org/2001/XMLSchema" xmlns:xs="http://www.w3.org/2001/XMLSchema" xmlns:p="http://schemas.microsoft.com/office/2006/metadata/properties" xmlns:ns3="1b6f2b70-d5a1-4544-a145-5b4293f13656" targetNamespace="http://schemas.microsoft.com/office/2006/metadata/properties" ma:root="true" ma:fieldsID="c42e6d508d3efa228f8e71bc8e9b8256" ns3:_="">
    <xsd:import namespace="1b6f2b70-d5a1-4544-a145-5b4293f1365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6f2b70-d5a1-4544-a145-5b4293f136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8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5E14FD-4176-4861-A1AF-B8C1828E6C8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18C2381-6AE1-46DC-B982-38F059ABD279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1b6f2b70-d5a1-4544-a145-5b4293f13656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257F2AA-F8FB-487E-8891-B27725CC80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6f2b70-d5a1-4544-a145-5b4293f136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Cours</vt:lpstr>
      <vt:lpstr>Exo 1</vt:lpstr>
      <vt:lpstr>Exo 2</vt:lpstr>
      <vt:lpstr>Exo 3 </vt:lpstr>
      <vt:lpstr>Oussama</vt:lpstr>
      <vt:lpstr>Exo 4</vt:lpstr>
      <vt:lpstr>Exo 5 bis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NOEL Eric</dc:creator>
  <cp:lastModifiedBy>Eric Noel</cp:lastModifiedBy>
  <dcterms:created xsi:type="dcterms:W3CDTF">2019-02-11T19:42:16Z</dcterms:created>
  <dcterms:modified xsi:type="dcterms:W3CDTF">2025-05-16T13:58:49Z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249e151f-07d8-4854-a1ed-87a81ac68ec6</vt:lpwstr>
  </property>
  <property fmtid="{D5CDD505-2E9C-101B-9397-08002B2CF9AE}" pid="3" name="ContentTypeId">
    <vt:lpwstr>0x01010021529F2146C75048A695AB3F03D98EF9</vt:lpwstr>
  </property>
</Properties>
</file>