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2/Commun/R306 Controle de gestion/DS FI 2023 2024/"/>
    </mc:Choice>
  </mc:AlternateContent>
  <xr:revisionPtr revIDLastSave="12" documentId="8_{7F85FE4E-C84D-4C6A-A16C-4EDA8A9023AF}" xr6:coauthVersionLast="47" xr6:coauthVersionMax="47" xr10:uidLastSave="{27C7BCF8-259D-4463-B309-8AA88A830AB9}"/>
  <bookViews>
    <workbookView xWindow="-120" yWindow="-120" windowWidth="29040" windowHeight="15840" xr2:uid="{00000000-000D-0000-FFFF-FFFF00000000}"/>
  </bookViews>
  <sheets>
    <sheet name="Corrigé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E43" i="2"/>
  <c r="C43" i="2"/>
  <c r="F43" i="2" s="1"/>
  <c r="B43" i="2"/>
  <c r="E42" i="2"/>
  <c r="G42" i="2" s="1"/>
  <c r="B42" i="2"/>
  <c r="D42" i="2" s="1"/>
  <c r="G41" i="2"/>
  <c r="D41" i="2"/>
  <c r="G40" i="2"/>
  <c r="B40" i="2"/>
  <c r="D40" i="2" s="1"/>
  <c r="E39" i="2"/>
  <c r="G39" i="2" s="1"/>
  <c r="D39" i="2"/>
  <c r="G38" i="2"/>
  <c r="B38" i="2"/>
  <c r="D38" i="2" s="1"/>
  <c r="E37" i="2"/>
  <c r="G37" i="2" s="1"/>
  <c r="B37" i="2"/>
  <c r="D37" i="2" s="1"/>
  <c r="E36" i="2"/>
  <c r="G36" i="2" s="1"/>
  <c r="B36" i="2"/>
  <c r="D36" i="2" s="1"/>
  <c r="I8" i="2"/>
  <c r="J8" i="2" s="1"/>
  <c r="I7" i="2"/>
  <c r="J7" i="2" s="1"/>
  <c r="I6" i="2"/>
  <c r="J6" i="2" s="1"/>
  <c r="I5" i="2"/>
  <c r="D56" i="2"/>
  <c r="E20" i="2"/>
  <c r="G54" i="2" l="1"/>
  <c r="G43" i="2"/>
  <c r="G44" i="2"/>
  <c r="F44" i="2" s="1"/>
  <c r="H49" i="2" s="1"/>
  <c r="D43" i="2"/>
  <c r="D44" i="2" s="1"/>
  <c r="I9" i="2"/>
  <c r="E18" i="2" s="1"/>
  <c r="J5" i="2"/>
  <c r="J9" i="2" s="1"/>
  <c r="C44" i="2" l="1"/>
  <c r="E49" i="2" s="1"/>
  <c r="F49" i="2"/>
  <c r="D17" i="2"/>
  <c r="F20" i="2"/>
  <c r="G57" i="2"/>
  <c r="G53" i="2"/>
  <c r="G51" i="2"/>
  <c r="G50" i="2"/>
  <c r="G49" i="2"/>
  <c r="G56" i="2" s="1"/>
  <c r="D57" i="2"/>
  <c r="D55" i="2"/>
  <c r="D53" i="2"/>
  <c r="D51" i="2"/>
  <c r="F62" i="2" l="1"/>
  <c r="F61" i="2"/>
  <c r="E61" i="2"/>
  <c r="E62" i="2" s="1"/>
  <c r="B62" i="2"/>
  <c r="B61" i="2"/>
  <c r="G62" i="2" l="1"/>
  <c r="C68" i="2" s="1"/>
  <c r="G61" i="2"/>
  <c r="B68" i="2" l="1"/>
  <c r="H31" i="2"/>
  <c r="E27" i="2"/>
  <c r="G27" i="2"/>
  <c r="F27" i="2"/>
  <c r="D27" i="2"/>
  <c r="C27" i="2"/>
  <c r="D19" i="2"/>
  <c r="D16" i="2"/>
  <c r="F16" i="2" s="1"/>
  <c r="E52" i="2" s="1"/>
  <c r="H52" i="2" s="1"/>
  <c r="F15" i="2"/>
  <c r="E51" i="2" s="1"/>
  <c r="H51" i="2" s="1"/>
  <c r="F21" i="2"/>
  <c r="E57" i="2" s="1"/>
  <c r="F14" i="2"/>
  <c r="E50" i="2" s="1"/>
  <c r="E56" i="2"/>
  <c r="H56" i="2" s="1"/>
  <c r="E19" i="2"/>
  <c r="E17" i="2"/>
  <c r="D7" i="2"/>
  <c r="D6" i="2"/>
  <c r="D5" i="2"/>
  <c r="D4" i="2"/>
  <c r="I51" i="2" l="1"/>
  <c r="F56" i="2"/>
  <c r="I56" i="2"/>
  <c r="F50" i="2"/>
  <c r="H50" i="2"/>
  <c r="I50" i="2" s="1"/>
  <c r="F57" i="2"/>
  <c r="B67" i="2" s="1"/>
  <c r="B69" i="2" s="1"/>
  <c r="B70" i="2" s="1"/>
  <c r="H57" i="2"/>
  <c r="I57" i="2" s="1"/>
  <c r="C67" i="2" s="1"/>
  <c r="C69" i="2" s="1"/>
  <c r="C70" i="2" s="1"/>
  <c r="I52" i="2"/>
  <c r="F52" i="2"/>
  <c r="F51" i="2"/>
  <c r="D8" i="2"/>
  <c r="F17" i="2"/>
  <c r="E53" i="2" s="1"/>
  <c r="F19" i="2"/>
  <c r="E55" i="2" s="1"/>
  <c r="H55" i="2" s="1"/>
  <c r="I55" i="2" s="1"/>
  <c r="H27" i="2"/>
  <c r="H28" i="2" s="1"/>
  <c r="D22" i="2"/>
  <c r="D69" i="2" l="1"/>
  <c r="F55" i="2"/>
  <c r="H53" i="2"/>
  <c r="I53" i="2" s="1"/>
  <c r="F53" i="2"/>
  <c r="F18" i="2"/>
  <c r="E54" i="2" s="1"/>
  <c r="H54" i="2" s="1"/>
  <c r="I54" i="2" s="1"/>
  <c r="I49" i="2" l="1"/>
  <c r="I58" i="2" s="1"/>
  <c r="H58" i="2" s="1"/>
  <c r="F54" i="2"/>
  <c r="F58" i="2" l="1"/>
  <c r="E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I5" authorId="0" shapeId="0" xr:uid="{66658686-2EA3-453C-B27A-E65819C76B1C}">
      <text>
        <r>
          <rPr>
            <b/>
            <sz val="9"/>
            <color indexed="81"/>
            <rFont val="Tahoma"/>
            <family val="2"/>
          </rPr>
          <t>8000*40 = 320000mn
320000 /60 = 5333,33h</t>
        </r>
      </text>
    </comment>
  </commentList>
</comments>
</file>

<file path=xl/sharedStrings.xml><?xml version="1.0" encoding="utf-8"?>
<sst xmlns="http://schemas.openxmlformats.org/spreadsheetml/2006/main" count="80" uniqueCount="48">
  <si>
    <t>Cuir (en m²)</t>
  </si>
  <si>
    <t>Teinture</t>
  </si>
  <si>
    <t>Plastique</t>
  </si>
  <si>
    <t>Q</t>
  </si>
  <si>
    <t>PU</t>
  </si>
  <si>
    <t>M</t>
  </si>
  <si>
    <t>COUT DIRECT</t>
  </si>
  <si>
    <t>Distribution</t>
  </si>
  <si>
    <t>Charges</t>
  </si>
  <si>
    <t>COUT DE REVIENT</t>
  </si>
  <si>
    <t>MOD Finition</t>
  </si>
  <si>
    <t>Cuir</t>
  </si>
  <si>
    <t>Métal</t>
  </si>
  <si>
    <t>Tissu</t>
  </si>
  <si>
    <t>ZAC</t>
  </si>
  <si>
    <t>MAUD</t>
  </si>
  <si>
    <t>THIB</t>
  </si>
  <si>
    <t>JEN</t>
  </si>
  <si>
    <t>Inducteurs</t>
  </si>
  <si>
    <t>Nombre d'inducteurs</t>
  </si>
  <si>
    <t>Coût d'un inducteur</t>
  </si>
  <si>
    <t>1</t>
  </si>
  <si>
    <t>2</t>
  </si>
  <si>
    <t>MOD découpe</t>
  </si>
  <si>
    <t>4</t>
  </si>
  <si>
    <t>5</t>
  </si>
  <si>
    <t>Nombre de fournisseurs</t>
  </si>
  <si>
    <t>Nombre de références de MP</t>
  </si>
  <si>
    <t>Nombre de références du catalogue</t>
  </si>
  <si>
    <t>Nombre de séries fabriquées</t>
  </si>
  <si>
    <t>Nombre de produits retournés</t>
  </si>
  <si>
    <t>Nombre d'heure de MO de l'atelier finition</t>
  </si>
  <si>
    <t>Nombre de lots commercialisés</t>
  </si>
  <si>
    <t> TOTAL</t>
  </si>
  <si>
    <t>Commande de 600 unités sur 4000 unités</t>
  </si>
  <si>
    <t xml:space="preserve">6 références / 27 possibles </t>
  </si>
  <si>
    <t>Nombre de fournisseur</t>
  </si>
  <si>
    <t>Heures</t>
  </si>
  <si>
    <t>Ancienne situation</t>
  </si>
  <si>
    <t>Nouvelle situation</t>
  </si>
  <si>
    <t>IMPACT SUR LA COMMANDE</t>
  </si>
  <si>
    <t>pour 1 lot commercialisé : 250€</t>
  </si>
  <si>
    <t>Pour 1 lot commercialisé : 295,70€</t>
  </si>
  <si>
    <t xml:space="preserve">THIB </t>
  </si>
  <si>
    <t xml:space="preserve">Augmentation du coût de revient </t>
  </si>
  <si>
    <t>Nombre d'heure de MO de l'atelier découpe présence</t>
  </si>
  <si>
    <t>Nombre d'heure de MO de l'atelier finition présence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</si>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</sst>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3" fillId="0" borderId="1" xfId="0" applyFont="1" applyBorder="1" applyAlignment="1">
      <alignment horizontal="center"/>
    </xf>
    <xf numFmtId="44" fontId="0" fillId="2" borderId="0" xfId="0" applyNumberFormat="1" applyFill="1"/>
    <xf numFmtId="0" fontId="0" fillId="0" borderId="0" xfId="0" quotePrefix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44" fontId="5" fillId="0" borderId="1" xfId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44" fontId="3" fillId="0" borderId="1" xfId="1" applyFont="1" applyBorder="1" applyAlignment="1">
      <alignment vertical="top"/>
    </xf>
    <xf numFmtId="44" fontId="4" fillId="0" borderId="1" xfId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8" fontId="4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/>
    <xf numFmtId="44" fontId="0" fillId="3" borderId="0" xfId="0" applyNumberFormat="1" applyFill="1"/>
    <xf numFmtId="0" fontId="0" fillId="0" borderId="0" xfId="0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44" fontId="5" fillId="4" borderId="1" xfId="1" applyFont="1" applyFill="1" applyBorder="1" applyAlignment="1">
      <alignment horizontal="right" vertical="center"/>
    </xf>
    <xf numFmtId="0" fontId="3" fillId="4" borderId="0" xfId="0" applyFont="1" applyFill="1"/>
    <xf numFmtId="0" fontId="5" fillId="5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vertical="top"/>
    </xf>
    <xf numFmtId="165" fontId="5" fillId="4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1103313</xdr:colOff>
      <xdr:row>8</xdr:row>
      <xdr:rowOff>150813</xdr:rowOff>
    </xdr:from>
    <xdr:to>
      <xdr:col>8</xdr:col>
      <xdr:colOff>222250</xdr:colOff>
      <xdr:row>17</xdr:row>
      <xdr:rowOff>127000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FFB640A-4CAE-4208-B701-093E3987888F}"/>
            </a:ext>
          </a:extLst>
        </xdr:cNvPr>
        <xdr:cNvCxnSpPr/>
      </xdr:nvCxnSpPr>
      <xdr:spPr>
        <a:xfrm flipH="1">
          <a:off x="5913438" y="11199813"/>
          <a:ext cx="3627437" cy="24526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0"/>
  <sheetViews>
    <sheetView showGridLines="0" tabSelected="1" zoomScale="120" zoomScaleNormal="120" workbookViewId="0">
      <selection activeCell="E68" sqref="E68"/>
    </sheetView>
  </sheetViews>
  <sheetFormatPr baseColWidth="10" defaultRowHeight="15" x14ac:dyDescent="0.25"/>
  <cols>
    <col min="1" max="1" width="23.7109375" customWidth="1"/>
    <col min="2" max="2" width="16.85546875" customWidth="1"/>
    <col min="3" max="3" width="15.28515625" customWidth="1"/>
    <col min="4" max="4" width="16.28515625" customWidth="1"/>
    <col min="5" max="5" width="18.140625" bestFit="1" customWidth="1"/>
    <col min="6" max="6" width="19.7109375" customWidth="1"/>
    <col min="7" max="7" width="18.28515625" customWidth="1"/>
    <col min="9" max="9" width="17.28515625" customWidth="1"/>
    <col min="14" max="14" width="12.85546875" bestFit="1" customWidth="1"/>
  </cols>
  <sheetData>
    <row r="1" spans="1:10" x14ac:dyDescent="0.25">
      <c r="A1" s="23"/>
      <c r="B1" s="23"/>
      <c r="C1" s="23"/>
      <c r="D1" s="23"/>
      <c r="E1" s="23"/>
      <c r="F1" s="23"/>
      <c r="G1" s="23"/>
      <c r="H1" s="24"/>
    </row>
    <row r="2" spans="1:10" x14ac:dyDescent="0.25">
      <c r="A2" s="5" t="s">
        <v>21</v>
      </c>
      <c r="G2" s="23"/>
      <c r="H2" s="24"/>
    </row>
    <row r="3" spans="1:10" x14ac:dyDescent="0.25">
      <c r="G3" s="23"/>
      <c r="H3" s="24"/>
    </row>
    <row r="4" spans="1:10" x14ac:dyDescent="0.25">
      <c r="A4">
        <v>440</v>
      </c>
      <c r="C4" t="s">
        <v>14</v>
      </c>
      <c r="D4">
        <f>8000/80</f>
        <v>100</v>
      </c>
      <c r="G4" s="23"/>
      <c r="H4" s="25"/>
      <c r="I4" s="25" t="s">
        <v>37</v>
      </c>
    </row>
    <row r="5" spans="1:10" x14ac:dyDescent="0.25">
      <c r="C5" t="s">
        <v>15</v>
      </c>
      <c r="D5">
        <f>4000/50</f>
        <v>80</v>
      </c>
      <c r="G5" s="23"/>
      <c r="H5" s="25" t="s">
        <v>14</v>
      </c>
      <c r="I5" s="25">
        <f>40/60*8000/0.8</f>
        <v>6666.6666666666661</v>
      </c>
      <c r="J5">
        <f>I5*0.8</f>
        <v>5333.333333333333</v>
      </c>
    </row>
    <row r="6" spans="1:10" x14ac:dyDescent="0.25">
      <c r="C6" t="s">
        <v>16</v>
      </c>
      <c r="D6">
        <f>1000/5</f>
        <v>200</v>
      </c>
      <c r="F6" s="16"/>
      <c r="G6" s="23"/>
      <c r="H6" s="25" t="s">
        <v>15</v>
      </c>
      <c r="I6" s="25">
        <f>45/60*4000/0.8</f>
        <v>3750</v>
      </c>
      <c r="J6">
        <f t="shared" ref="J6:J8" si="0">I6*0.8</f>
        <v>3000</v>
      </c>
    </row>
    <row r="7" spans="1:10" x14ac:dyDescent="0.25">
      <c r="C7" t="s">
        <v>17</v>
      </c>
      <c r="D7">
        <f>600/10</f>
        <v>60</v>
      </c>
      <c r="G7" s="23"/>
      <c r="H7" s="25" t="s">
        <v>16</v>
      </c>
      <c r="I7" s="25">
        <f>150/60*1000/0.8</f>
        <v>3125</v>
      </c>
      <c r="J7">
        <f t="shared" si="0"/>
        <v>2500</v>
      </c>
    </row>
    <row r="8" spans="1:10" x14ac:dyDescent="0.25">
      <c r="D8" s="27">
        <f>SUM(D4:D7)</f>
        <v>440</v>
      </c>
      <c r="G8" s="23"/>
      <c r="H8" s="25" t="s">
        <v>17</v>
      </c>
      <c r="I8" s="25">
        <f>2*600/0.8</f>
        <v>1500</v>
      </c>
      <c r="J8">
        <f t="shared" si="0"/>
        <v>1200</v>
      </c>
    </row>
    <row r="9" spans="1:10" x14ac:dyDescent="0.25">
      <c r="A9" s="23"/>
      <c r="B9" s="23"/>
      <c r="C9" s="23"/>
      <c r="D9" s="23"/>
      <c r="E9" s="23"/>
      <c r="F9" s="23"/>
      <c r="G9" s="23"/>
      <c r="H9" s="3"/>
      <c r="I9" s="26">
        <f>SUM(I5:I8)</f>
        <v>15041.666666666666</v>
      </c>
      <c r="J9" s="26">
        <f>SUM(J5:J8)</f>
        <v>12033.333333333332</v>
      </c>
    </row>
    <row r="11" spans="1:10" x14ac:dyDescent="0.25">
      <c r="A11" s="5" t="s">
        <v>22</v>
      </c>
    </row>
    <row r="13" spans="1:10" x14ac:dyDescent="0.25">
      <c r="A13" s="43" t="s">
        <v>18</v>
      </c>
      <c r="B13" s="43"/>
      <c r="C13" s="43"/>
      <c r="D13" s="7" t="s">
        <v>8</v>
      </c>
      <c r="E13" s="7" t="s">
        <v>19</v>
      </c>
      <c r="F13" s="7" t="s">
        <v>20</v>
      </c>
    </row>
    <row r="14" spans="1:10" x14ac:dyDescent="0.25">
      <c r="A14" s="42" t="s">
        <v>26</v>
      </c>
      <c r="B14" s="42"/>
      <c r="C14" s="42"/>
      <c r="D14" s="18">
        <v>46000</v>
      </c>
      <c r="E14" s="7">
        <v>10</v>
      </c>
      <c r="F14" s="19">
        <f>D14/E14</f>
        <v>4600</v>
      </c>
      <c r="G14" s="12"/>
    </row>
    <row r="15" spans="1:10" x14ac:dyDescent="0.25">
      <c r="A15" s="42" t="s">
        <v>27</v>
      </c>
      <c r="B15" s="42"/>
      <c r="C15" s="42"/>
      <c r="D15" s="18">
        <v>30000</v>
      </c>
      <c r="E15" s="7">
        <v>5</v>
      </c>
      <c r="F15" s="19">
        <f t="shared" ref="F15:F21" si="1">D15/E15</f>
        <v>6000</v>
      </c>
      <c r="G15" s="12"/>
    </row>
    <row r="16" spans="1:10" x14ac:dyDescent="0.25">
      <c r="A16" s="42" t="s">
        <v>28</v>
      </c>
      <c r="B16" s="42"/>
      <c r="C16" s="42"/>
      <c r="D16" s="18">
        <f>18360+26460</f>
        <v>44820</v>
      </c>
      <c r="E16" s="7">
        <v>27</v>
      </c>
      <c r="F16" s="19">
        <f t="shared" si="1"/>
        <v>1660</v>
      </c>
      <c r="G16" s="12"/>
    </row>
    <row r="17" spans="1:9" x14ac:dyDescent="0.25">
      <c r="A17" s="42" t="s">
        <v>29</v>
      </c>
      <c r="B17" s="42"/>
      <c r="C17" s="42"/>
      <c r="D17" s="18">
        <f>99315+44400</f>
        <v>143715</v>
      </c>
      <c r="E17" s="36">
        <f>8000/500+(4000/200)+(1000/10)+(600/50)</f>
        <v>148</v>
      </c>
      <c r="F17" s="19">
        <f t="shared" si="1"/>
        <v>971.04729729729729</v>
      </c>
      <c r="G17" s="12"/>
    </row>
    <row r="18" spans="1:9" x14ac:dyDescent="0.25">
      <c r="A18" s="42" t="s">
        <v>45</v>
      </c>
      <c r="B18" s="42"/>
      <c r="C18" s="42"/>
      <c r="D18" s="18">
        <v>17700</v>
      </c>
      <c r="E18" s="7">
        <f>I9</f>
        <v>15041.666666666666</v>
      </c>
      <c r="F18" s="19">
        <f t="shared" si="1"/>
        <v>1.1767313019390582</v>
      </c>
      <c r="G18" s="12"/>
      <c r="I18" s="2"/>
    </row>
    <row r="19" spans="1:9" x14ac:dyDescent="0.25">
      <c r="A19" s="42" t="s">
        <v>30</v>
      </c>
      <c r="B19" s="42"/>
      <c r="C19" s="42"/>
      <c r="D19" s="18">
        <f>7000+13140</f>
        <v>20140</v>
      </c>
      <c r="E19" s="7">
        <f>155+40+5</f>
        <v>200</v>
      </c>
      <c r="F19" s="19">
        <f t="shared" si="1"/>
        <v>100.7</v>
      </c>
      <c r="G19" s="12"/>
    </row>
    <row r="20" spans="1:9" x14ac:dyDescent="0.25">
      <c r="A20" s="42" t="s">
        <v>46</v>
      </c>
      <c r="B20" s="42"/>
      <c r="C20" s="42"/>
      <c r="D20" s="18">
        <v>37000</v>
      </c>
      <c r="E20" s="7">
        <f>((8000*5)+(4000*9)+(1000*30)+(600*15))/60/0.85</f>
        <v>2254.9019607843138</v>
      </c>
      <c r="F20" s="19">
        <f>D20/E20</f>
        <v>16.408695652173911</v>
      </c>
      <c r="G20" s="12"/>
      <c r="I20" s="2"/>
    </row>
    <row r="21" spans="1:9" x14ac:dyDescent="0.25">
      <c r="A21" s="42" t="s">
        <v>32</v>
      </c>
      <c r="B21" s="42"/>
      <c r="C21" s="42"/>
      <c r="D21" s="18">
        <v>110000</v>
      </c>
      <c r="E21" s="7">
        <v>440</v>
      </c>
      <c r="F21" s="19">
        <f t="shared" si="1"/>
        <v>250</v>
      </c>
      <c r="G21" s="12"/>
    </row>
    <row r="22" spans="1:9" x14ac:dyDescent="0.25">
      <c r="A22" s="42" t="s">
        <v>33</v>
      </c>
      <c r="B22" s="42"/>
      <c r="C22" s="42"/>
      <c r="D22" s="17">
        <f>SUM(D14:D21)</f>
        <v>449375</v>
      </c>
      <c r="E22" s="10"/>
      <c r="F22" s="10"/>
      <c r="G22" s="12"/>
    </row>
    <row r="23" spans="1:9" x14ac:dyDescent="0.25">
      <c r="G23" s="12"/>
    </row>
    <row r="24" spans="1:9" x14ac:dyDescent="0.25">
      <c r="A24" s="5" t="s">
        <v>47</v>
      </c>
    </row>
    <row r="26" spans="1:9" x14ac:dyDescent="0.25">
      <c r="A26" s="33">
        <v>3.4167000000000001</v>
      </c>
      <c r="C26" t="s">
        <v>11</v>
      </c>
      <c r="D26" t="s">
        <v>1</v>
      </c>
      <c r="E26" t="s">
        <v>2</v>
      </c>
      <c r="F26" t="s">
        <v>12</v>
      </c>
      <c r="G26" t="s">
        <v>13</v>
      </c>
    </row>
    <row r="27" spans="1:9" x14ac:dyDescent="0.25">
      <c r="A27" t="s">
        <v>15</v>
      </c>
      <c r="C27">
        <f>3*1/3</f>
        <v>1</v>
      </c>
      <c r="D27">
        <f>0.25*1</f>
        <v>0.25</v>
      </c>
      <c r="E27">
        <f>1/3*2</f>
        <v>0.66666666666666663</v>
      </c>
      <c r="F27">
        <f>0</f>
        <v>0</v>
      </c>
      <c r="G27">
        <f>0.5*3</f>
        <v>1.5</v>
      </c>
      <c r="H27">
        <f>SUM(C27:G27)</f>
        <v>3.4166666666666665</v>
      </c>
    </row>
    <row r="28" spans="1:9" x14ac:dyDescent="0.25">
      <c r="C28" t="s">
        <v>34</v>
      </c>
      <c r="H28">
        <f>H27</f>
        <v>3.4166666666666665</v>
      </c>
      <c r="I28" s="12"/>
    </row>
    <row r="30" spans="1:9" x14ac:dyDescent="0.25">
      <c r="A30" s="33">
        <v>6</v>
      </c>
      <c r="C30" t="s">
        <v>35</v>
      </c>
      <c r="E30">
        <v>6</v>
      </c>
    </row>
    <row r="31" spans="1:9" x14ac:dyDescent="0.25">
      <c r="H31">
        <f>E30</f>
        <v>6</v>
      </c>
      <c r="I31" s="12"/>
    </row>
    <row r="33" spans="1:9" x14ac:dyDescent="0.25">
      <c r="A33" s="5" t="s">
        <v>24</v>
      </c>
    </row>
    <row r="34" spans="1:9" x14ac:dyDescent="0.25">
      <c r="A34" s="6"/>
      <c r="B34" s="44" t="s">
        <v>15</v>
      </c>
      <c r="C34" s="45"/>
      <c r="D34" s="46"/>
      <c r="E34" s="44" t="s">
        <v>43</v>
      </c>
      <c r="F34" s="45"/>
      <c r="G34" s="46"/>
    </row>
    <row r="35" spans="1:9" x14ac:dyDescent="0.25">
      <c r="A35" s="6"/>
      <c r="B35" s="40" t="s">
        <v>3</v>
      </c>
      <c r="C35" s="40" t="s">
        <v>4</v>
      </c>
      <c r="D35" s="40" t="s">
        <v>5</v>
      </c>
      <c r="E35" s="40" t="s">
        <v>3</v>
      </c>
      <c r="F35" s="40" t="s">
        <v>4</v>
      </c>
      <c r="G35" s="40" t="s">
        <v>5</v>
      </c>
    </row>
    <row r="36" spans="1:9" x14ac:dyDescent="0.25">
      <c r="A36" s="41" t="s">
        <v>0</v>
      </c>
      <c r="B36" s="34">
        <f>0.6*4000</f>
        <v>2400</v>
      </c>
      <c r="C36" s="11">
        <v>25</v>
      </c>
      <c r="D36" s="11">
        <f>B36*C36</f>
        <v>60000</v>
      </c>
      <c r="E36" s="9">
        <f>1.2*1000</f>
        <v>1200</v>
      </c>
      <c r="F36" s="11">
        <v>25</v>
      </c>
      <c r="G36" s="11">
        <f>E36*F36</f>
        <v>30000</v>
      </c>
    </row>
    <row r="37" spans="1:9" x14ac:dyDescent="0.25">
      <c r="A37" s="41" t="s">
        <v>1</v>
      </c>
      <c r="B37" s="9">
        <f>0.5*4000</f>
        <v>2000</v>
      </c>
      <c r="C37" s="11">
        <v>12</v>
      </c>
      <c r="D37" s="11">
        <f t="shared" ref="D37:D43" si="2">B37*C37</f>
        <v>24000</v>
      </c>
      <c r="E37" s="9">
        <f>0.5*1000</f>
        <v>500</v>
      </c>
      <c r="F37" s="11">
        <v>12</v>
      </c>
      <c r="G37" s="11">
        <f t="shared" ref="G37:G43" si="3">E37*F37</f>
        <v>6000</v>
      </c>
    </row>
    <row r="38" spans="1:9" x14ac:dyDescent="0.25">
      <c r="A38" s="41" t="s">
        <v>2</v>
      </c>
      <c r="B38" s="9">
        <f>0.18*4000</f>
        <v>720</v>
      </c>
      <c r="C38" s="11">
        <v>10</v>
      </c>
      <c r="D38" s="11">
        <f t="shared" si="2"/>
        <v>7200</v>
      </c>
      <c r="E38" s="9">
        <v>0</v>
      </c>
      <c r="F38" s="11">
        <v>10</v>
      </c>
      <c r="G38" s="11">
        <f t="shared" si="3"/>
        <v>0</v>
      </c>
    </row>
    <row r="39" spans="1:9" x14ac:dyDescent="0.25">
      <c r="A39" s="41" t="s">
        <v>12</v>
      </c>
      <c r="B39" s="9">
        <v>0</v>
      </c>
      <c r="C39" s="11">
        <v>30</v>
      </c>
      <c r="D39" s="11">
        <f t="shared" si="2"/>
        <v>0</v>
      </c>
      <c r="E39" s="9">
        <f>0.05*1000</f>
        <v>50</v>
      </c>
      <c r="F39" s="11">
        <v>30</v>
      </c>
      <c r="G39" s="11">
        <f t="shared" si="3"/>
        <v>1500</v>
      </c>
    </row>
    <row r="40" spans="1:9" x14ac:dyDescent="0.25">
      <c r="A40" s="41" t="s">
        <v>13</v>
      </c>
      <c r="B40" s="34">
        <f>0.5*4000</f>
        <v>2000</v>
      </c>
      <c r="C40" s="11">
        <v>12</v>
      </c>
      <c r="D40" s="11">
        <f t="shared" si="2"/>
        <v>24000</v>
      </c>
      <c r="E40" s="9">
        <v>0</v>
      </c>
      <c r="F40" s="11">
        <v>12</v>
      </c>
      <c r="G40" s="11">
        <f t="shared" si="3"/>
        <v>0</v>
      </c>
    </row>
    <row r="41" spans="1:9" x14ac:dyDescent="0.25">
      <c r="A41" s="41" t="s">
        <v>7</v>
      </c>
      <c r="B41" s="9">
        <v>4000</v>
      </c>
      <c r="C41" s="11">
        <v>2.5</v>
      </c>
      <c r="D41" s="11">
        <f t="shared" si="2"/>
        <v>10000</v>
      </c>
      <c r="E41" s="9">
        <v>1000</v>
      </c>
      <c r="F41" s="11">
        <v>8</v>
      </c>
      <c r="G41" s="11">
        <f t="shared" si="3"/>
        <v>8000</v>
      </c>
    </row>
    <row r="42" spans="1:9" x14ac:dyDescent="0.25">
      <c r="A42" s="30" t="s">
        <v>23</v>
      </c>
      <c r="B42" s="35">
        <f>4000*45/60/0.8</f>
        <v>3750</v>
      </c>
      <c r="C42" s="32">
        <v>28</v>
      </c>
      <c r="D42" s="32">
        <f t="shared" si="2"/>
        <v>105000</v>
      </c>
      <c r="E42" s="31">
        <f>2.5*1000/0.8</f>
        <v>3125</v>
      </c>
      <c r="F42" s="32">
        <v>28</v>
      </c>
      <c r="G42" s="32">
        <f t="shared" si="3"/>
        <v>87500</v>
      </c>
    </row>
    <row r="43" spans="1:9" x14ac:dyDescent="0.25">
      <c r="A43" s="30" t="s">
        <v>10</v>
      </c>
      <c r="B43" s="37">
        <f>0.15*4000</f>
        <v>600</v>
      </c>
      <c r="C43" s="32">
        <f>42.5/0.85</f>
        <v>50</v>
      </c>
      <c r="D43" s="32">
        <f t="shared" si="2"/>
        <v>30000</v>
      </c>
      <c r="E43" s="38">
        <f>30/60*1000</f>
        <v>500</v>
      </c>
      <c r="F43" s="32">
        <f>+C43</f>
        <v>50</v>
      </c>
      <c r="G43" s="32">
        <f t="shared" si="3"/>
        <v>25000</v>
      </c>
    </row>
    <row r="44" spans="1:9" x14ac:dyDescent="0.25">
      <c r="A44" s="6" t="s">
        <v>6</v>
      </c>
      <c r="B44" s="13">
        <v>4000</v>
      </c>
      <c r="C44" s="14">
        <f>D44/B44</f>
        <v>65.05</v>
      </c>
      <c r="D44" s="15">
        <f>SUM(D36:D43)</f>
        <v>260200</v>
      </c>
      <c r="E44" s="13">
        <v>1000</v>
      </c>
      <c r="F44" s="15">
        <f>G44/E44</f>
        <v>158</v>
      </c>
      <c r="G44" s="15">
        <f>SUM(G36:G43)</f>
        <v>158000</v>
      </c>
    </row>
    <row r="47" spans="1:9" x14ac:dyDescent="0.25">
      <c r="A47" s="42"/>
      <c r="B47" s="42"/>
      <c r="C47" s="42"/>
      <c r="D47" s="42" t="s">
        <v>15</v>
      </c>
      <c r="E47" s="42"/>
      <c r="F47" s="42"/>
      <c r="G47" s="42" t="s">
        <v>16</v>
      </c>
      <c r="H47" s="42"/>
      <c r="I47" s="42"/>
    </row>
    <row r="48" spans="1:9" x14ac:dyDescent="0.25">
      <c r="A48" s="42"/>
      <c r="B48" s="42"/>
      <c r="C48" s="42"/>
      <c r="D48" s="8" t="s">
        <v>3</v>
      </c>
      <c r="E48" s="8" t="s">
        <v>4</v>
      </c>
      <c r="F48" s="8" t="s">
        <v>5</v>
      </c>
      <c r="G48" s="8" t="s">
        <v>3</v>
      </c>
      <c r="H48" s="8" t="s">
        <v>4</v>
      </c>
      <c r="I48" s="8" t="s">
        <v>5</v>
      </c>
    </row>
    <row r="49" spans="1:12" x14ac:dyDescent="0.25">
      <c r="A49" s="42" t="s">
        <v>6</v>
      </c>
      <c r="B49" s="42"/>
      <c r="C49" s="42"/>
      <c r="D49" s="9">
        <v>4000</v>
      </c>
      <c r="E49" s="20">
        <f>C44</f>
        <v>65.05</v>
      </c>
      <c r="F49" s="20">
        <f>D44</f>
        <v>260200</v>
      </c>
      <c r="G49" s="21">
        <f>1000</f>
        <v>1000</v>
      </c>
      <c r="H49" s="20">
        <f>F44</f>
        <v>158</v>
      </c>
      <c r="I49" s="20">
        <f>G49*H49</f>
        <v>158000</v>
      </c>
      <c r="J49" s="12"/>
    </row>
    <row r="50" spans="1:12" x14ac:dyDescent="0.25">
      <c r="A50" s="42" t="s">
        <v>36</v>
      </c>
      <c r="B50" s="42"/>
      <c r="C50" s="42"/>
      <c r="D50" s="9">
        <v>3.4167000000000001</v>
      </c>
      <c r="E50" s="20">
        <f>F14</f>
        <v>4600</v>
      </c>
      <c r="F50" s="20">
        <f>D50*E50</f>
        <v>15716.82</v>
      </c>
      <c r="G50" s="9">
        <f>((1/3*3)+(1/4*1)+1)</f>
        <v>2.25</v>
      </c>
      <c r="H50" s="20">
        <f t="shared" ref="H50:H57" si="4">E50</f>
        <v>4600</v>
      </c>
      <c r="I50" s="20">
        <f>G50*H50</f>
        <v>10350</v>
      </c>
      <c r="J50" s="12"/>
    </row>
    <row r="51" spans="1:12" x14ac:dyDescent="0.25">
      <c r="A51" s="42" t="s">
        <v>27</v>
      </c>
      <c r="B51" s="42"/>
      <c r="C51" s="42"/>
      <c r="D51" s="9">
        <f>(1/3+1/4+1/3+1/2)</f>
        <v>1.4166666666666665</v>
      </c>
      <c r="E51" s="20">
        <f>F15</f>
        <v>6000</v>
      </c>
      <c r="F51" s="20">
        <f t="shared" ref="F51:F57" si="5">D51*E51</f>
        <v>8500</v>
      </c>
      <c r="G51" s="9">
        <f>(1/3+0.25+1)</f>
        <v>1.5833333333333333</v>
      </c>
      <c r="H51" s="20">
        <f t="shared" si="4"/>
        <v>6000</v>
      </c>
      <c r="I51" s="20">
        <f t="shared" ref="I51:I57" si="6">G51*H51</f>
        <v>9500</v>
      </c>
      <c r="J51" s="12"/>
    </row>
    <row r="52" spans="1:12" ht="15.6" customHeight="1" x14ac:dyDescent="0.25">
      <c r="A52" s="42" t="s">
        <v>28</v>
      </c>
      <c r="B52" s="42"/>
      <c r="C52" s="42"/>
      <c r="D52" s="9">
        <v>6</v>
      </c>
      <c r="E52" s="20">
        <f>F16</f>
        <v>1660</v>
      </c>
      <c r="F52" s="20">
        <f t="shared" si="5"/>
        <v>9960</v>
      </c>
      <c r="G52" s="9">
        <v>5</v>
      </c>
      <c r="H52" s="20">
        <f t="shared" si="4"/>
        <v>1660</v>
      </c>
      <c r="I52" s="20">
        <f t="shared" si="6"/>
        <v>8300</v>
      </c>
      <c r="J52" s="12"/>
    </row>
    <row r="53" spans="1:12" x14ac:dyDescent="0.25">
      <c r="A53" s="42" t="s">
        <v>29</v>
      </c>
      <c r="B53" s="42"/>
      <c r="C53" s="42"/>
      <c r="D53" s="9">
        <f>4000/200</f>
        <v>20</v>
      </c>
      <c r="E53" s="20">
        <f>F17</f>
        <v>971.04729729729729</v>
      </c>
      <c r="F53" s="20">
        <f t="shared" si="5"/>
        <v>19420.945945945947</v>
      </c>
      <c r="G53" s="9">
        <f>1000/10</f>
        <v>100</v>
      </c>
      <c r="H53" s="20">
        <f t="shared" si="4"/>
        <v>971.04729729729729</v>
      </c>
      <c r="I53" s="20">
        <f t="shared" si="6"/>
        <v>97104.729729729734</v>
      </c>
      <c r="J53" s="12"/>
    </row>
    <row r="54" spans="1:12" x14ac:dyDescent="0.25">
      <c r="A54" s="42" t="s">
        <v>45</v>
      </c>
      <c r="B54" s="42"/>
      <c r="C54" s="42"/>
      <c r="D54" s="9">
        <f>B42</f>
        <v>3750</v>
      </c>
      <c r="E54" s="20">
        <f>F18</f>
        <v>1.1767313019390582</v>
      </c>
      <c r="F54" s="20">
        <f t="shared" si="5"/>
        <v>4412.7423822714682</v>
      </c>
      <c r="G54" s="9">
        <f>E42</f>
        <v>3125</v>
      </c>
      <c r="H54" s="20">
        <f t="shared" si="4"/>
        <v>1.1767313019390582</v>
      </c>
      <c r="I54" s="20">
        <f t="shared" si="6"/>
        <v>3677.2853185595568</v>
      </c>
      <c r="J54" s="12"/>
      <c r="L54" s="2"/>
    </row>
    <row r="55" spans="1:12" x14ac:dyDescent="0.25">
      <c r="A55" s="42" t="s">
        <v>30</v>
      </c>
      <c r="B55" s="42"/>
      <c r="C55" s="42"/>
      <c r="D55" s="9">
        <f>40</f>
        <v>40</v>
      </c>
      <c r="E55" s="20">
        <f>F19</f>
        <v>100.7</v>
      </c>
      <c r="F55" s="20">
        <f t="shared" si="5"/>
        <v>4028</v>
      </c>
      <c r="G55" s="9">
        <v>0</v>
      </c>
      <c r="H55" s="20">
        <f t="shared" si="4"/>
        <v>100.7</v>
      </c>
      <c r="I55" s="20">
        <f t="shared" si="6"/>
        <v>0</v>
      </c>
      <c r="J55" s="12"/>
    </row>
    <row r="56" spans="1:12" x14ac:dyDescent="0.25">
      <c r="A56" s="42" t="s">
        <v>31</v>
      </c>
      <c r="B56" s="42"/>
      <c r="C56" s="42"/>
      <c r="D56" s="39">
        <f>4000*9/60/0.85</f>
        <v>705.88235294117646</v>
      </c>
      <c r="E56" s="20">
        <f>F20</f>
        <v>16.408695652173911</v>
      </c>
      <c r="F56" s="20">
        <f t="shared" si="5"/>
        <v>11582.608695652172</v>
      </c>
      <c r="G56" s="39">
        <f>G49*30/60/0.85</f>
        <v>588.23529411764707</v>
      </c>
      <c r="H56" s="20">
        <f t="shared" si="4"/>
        <v>16.408695652173911</v>
      </c>
      <c r="I56" s="20">
        <f t="shared" si="6"/>
        <v>9652.173913043478</v>
      </c>
      <c r="J56" s="12"/>
      <c r="L56" s="2"/>
    </row>
    <row r="57" spans="1:12" x14ac:dyDescent="0.25">
      <c r="A57" s="42" t="s">
        <v>32</v>
      </c>
      <c r="B57" s="42"/>
      <c r="C57" s="42"/>
      <c r="D57" s="9">
        <f>4000/50</f>
        <v>80</v>
      </c>
      <c r="E57" s="20">
        <f>F21</f>
        <v>250</v>
      </c>
      <c r="F57" s="20">
        <f t="shared" si="5"/>
        <v>20000</v>
      </c>
      <c r="G57" s="9">
        <f>1000/5</f>
        <v>200</v>
      </c>
      <c r="H57" s="20">
        <f t="shared" si="4"/>
        <v>250</v>
      </c>
      <c r="I57" s="20">
        <f t="shared" si="6"/>
        <v>50000</v>
      </c>
      <c r="J57" s="12"/>
    </row>
    <row r="58" spans="1:12" x14ac:dyDescent="0.25">
      <c r="A58" s="42" t="s">
        <v>9</v>
      </c>
      <c r="B58" s="42"/>
      <c r="C58" s="42"/>
      <c r="D58" s="9">
        <v>4000</v>
      </c>
      <c r="E58" s="20">
        <f>F58/D58</f>
        <v>88.455279255967397</v>
      </c>
      <c r="F58" s="20">
        <f>SUM(F49:F57)</f>
        <v>353821.11702386959</v>
      </c>
      <c r="G58" s="9">
        <v>1000</v>
      </c>
      <c r="H58" s="20">
        <f>I58/G58</f>
        <v>346.5841889613327</v>
      </c>
      <c r="I58" s="20">
        <f>SUM(I49:I57)</f>
        <v>346584.18896133272</v>
      </c>
    </row>
    <row r="59" spans="1:12" x14ac:dyDescent="0.25">
      <c r="J59" s="12"/>
    </row>
    <row r="60" spans="1:12" x14ac:dyDescent="0.25">
      <c r="A60" s="5" t="s">
        <v>25</v>
      </c>
    </row>
    <row r="61" spans="1:12" x14ac:dyDescent="0.25">
      <c r="A61" t="s">
        <v>38</v>
      </c>
      <c r="B61" s="42" t="str">
        <f>A57</f>
        <v>Nombre de lots commercialisés</v>
      </c>
      <c r="C61" s="42"/>
      <c r="D61" s="42"/>
      <c r="E61" s="18">
        <f>D21</f>
        <v>110000</v>
      </c>
      <c r="F61" s="22">
        <f>E21</f>
        <v>440</v>
      </c>
      <c r="G61" s="19">
        <f t="shared" ref="G61:G62" si="7">E61/F61</f>
        <v>250</v>
      </c>
      <c r="H61" t="s">
        <v>41</v>
      </c>
    </row>
    <row r="62" spans="1:12" x14ac:dyDescent="0.25">
      <c r="A62" t="s">
        <v>39</v>
      </c>
      <c r="B62" s="42" t="str">
        <f>A57</f>
        <v>Nombre de lots commercialisés</v>
      </c>
      <c r="C62" s="42"/>
      <c r="D62" s="42"/>
      <c r="E62" s="18">
        <f>E61</f>
        <v>110000</v>
      </c>
      <c r="F62" s="22">
        <f>8000/250+(4000/50)+(1000/5)+(600/10)</f>
        <v>372</v>
      </c>
      <c r="G62" s="19">
        <f t="shared" si="7"/>
        <v>295.69892473118279</v>
      </c>
      <c r="H62" t="s">
        <v>42</v>
      </c>
    </row>
    <row r="64" spans="1:12" x14ac:dyDescent="0.25">
      <c r="A64" t="s">
        <v>40</v>
      </c>
    </row>
    <row r="66" spans="1:10" x14ac:dyDescent="0.25">
      <c r="B66" s="1" t="s">
        <v>15</v>
      </c>
      <c r="C66" s="1" t="s">
        <v>16</v>
      </c>
    </row>
    <row r="67" spans="1:10" x14ac:dyDescent="0.25">
      <c r="A67" t="s">
        <v>38</v>
      </c>
      <c r="B67" s="2">
        <f>+F57</f>
        <v>20000</v>
      </c>
      <c r="C67" s="2">
        <f>+I57</f>
        <v>50000</v>
      </c>
      <c r="J67" s="12">
        <v>2</v>
      </c>
    </row>
    <row r="68" spans="1:10" x14ac:dyDescent="0.25">
      <c r="A68" t="s">
        <v>39</v>
      </c>
      <c r="B68" s="2">
        <f>G62*D57</f>
        <v>23655.913978494624</v>
      </c>
      <c r="C68" s="2">
        <f>G62*G57</f>
        <v>59139.784946236556</v>
      </c>
    </row>
    <row r="69" spans="1:10" ht="30" x14ac:dyDescent="0.25">
      <c r="A69" s="29" t="s">
        <v>44</v>
      </c>
      <c r="B69" s="2">
        <f>+B68-B67</f>
        <v>3655.9139784946237</v>
      </c>
      <c r="C69" s="4">
        <f>+C68-C67</f>
        <v>9139.7849462365557</v>
      </c>
      <c r="D69" s="28">
        <f>B69+C69</f>
        <v>12795.698924731179</v>
      </c>
    </row>
    <row r="70" spans="1:10" x14ac:dyDescent="0.25">
      <c r="B70" s="2">
        <f>B69/4000</f>
        <v>0.91397849462365588</v>
      </c>
      <c r="C70" s="4">
        <f>C69/1000</f>
        <v>9.1397849462365564</v>
      </c>
    </row>
  </sheetData>
  <mergeCells count="27">
    <mergeCell ref="A13:C13"/>
    <mergeCell ref="A14:C14"/>
    <mergeCell ref="A15:C15"/>
    <mergeCell ref="A16:C16"/>
    <mergeCell ref="A17:C17"/>
    <mergeCell ref="G47:I47"/>
    <mergeCell ref="A18:C18"/>
    <mergeCell ref="A19:C19"/>
    <mergeCell ref="A20:C20"/>
    <mergeCell ref="A21:C21"/>
    <mergeCell ref="A22:C22"/>
    <mergeCell ref="D47:F47"/>
    <mergeCell ref="A47:C48"/>
    <mergeCell ref="B34:D34"/>
    <mergeCell ref="E34:G34"/>
    <mergeCell ref="B62:D62"/>
    <mergeCell ref="A56:C56"/>
    <mergeCell ref="A57:C57"/>
    <mergeCell ref="A49:C49"/>
    <mergeCell ref="A58:C58"/>
    <mergeCell ref="A54:C54"/>
    <mergeCell ref="A55:C55"/>
    <mergeCell ref="A50:C50"/>
    <mergeCell ref="A51:C51"/>
    <mergeCell ref="A52:C52"/>
    <mergeCell ref="A53:C53"/>
    <mergeCell ref="B61:D61"/>
  </mergeCells>
  <pageMargins left="0.7" right="0.7" top="0.75" bottom="0.75" header="0.3" footer="0.3"/>
  <pageSetup paperSize="9" scale="82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CF16F-353F-4745-ABF4-B506CA162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3CDB65-9A5D-496D-9CB2-30B939C1A01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3DC665-9D2C-4888-8076-73E9D3A175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cp:lastPrinted>2021-10-07T12:41:39Z</cp:lastPrinted>
  <dcterms:created xsi:type="dcterms:W3CDTF">2019-09-26T12:13:26Z</dcterms:created>
  <dcterms:modified xsi:type="dcterms:W3CDTF">2023-10-17T06:44:43Z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0060affd-7f24-41eb-bbec-b039e7a442d1</vt:lpwstr>
  </property>
  <property fmtid="{D5CDD505-2E9C-101B-9397-08002B2CF9AE}" pid="3" name="ContentTypeId">
    <vt:lpwstr>0x01010021529F2146C75048A695AB3F03D98EF9</vt:lpwstr>
  </property>
</Properties>
</file>