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noel\OneDrive - Universite Evry Val d'Essonne\BUT\Cours BUT\Cours BUT 1\R209 Controle de Gestion\Devoirs FI\DS2\"/>
    </mc:Choice>
  </mc:AlternateContent>
  <xr:revisionPtr revIDLastSave="12" documentId="8_{551E647A-4347-4333-B307-E8CFFB8673B0}" xr6:coauthVersionLast="36" xr6:coauthVersionMax="36" xr10:uidLastSave="{CF3AEBF0-42A9-4EA6-88EE-4FF62186AC0D}"/>
  <bookViews>
    <workbookView xWindow="-120" yWindow="-120" windowWidth="29040" windowHeight="15840" activeTab="1" xr2:uid="{88779A47-6790-48AB-9D80-77EE77A86FD8}"/>
  </bookViews>
  <sheets>
    <sheet name="Feuil1" sheetId="1" r:id="rId1"/>
    <sheet name="Feuil3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" l="1"/>
  <c r="D49" i="3" l="1"/>
  <c r="A43" i="3"/>
  <c r="D26" i="3"/>
  <c r="B27" i="3" s="1"/>
  <c r="D19" i="3"/>
  <c r="D8" i="3"/>
  <c r="E4" i="1" l="1"/>
  <c r="E6" i="1"/>
  <c r="B24" i="1" l="1"/>
  <c r="E46" i="1"/>
  <c r="F66" i="1" s="1"/>
  <c r="A52" i="1"/>
  <c r="A53" i="1" s="1"/>
  <c r="B60" i="1"/>
  <c r="C58" i="1"/>
  <c r="C59" i="1"/>
  <c r="B43" i="1"/>
  <c r="B44" i="1" s="1"/>
  <c r="D42" i="1"/>
  <c r="B37" i="1" s="1"/>
  <c r="D37" i="1" s="1"/>
  <c r="D30" i="1"/>
  <c r="B25" i="1"/>
  <c r="D25" i="1" s="1"/>
  <c r="B36" i="1"/>
  <c r="B39" i="1" s="1"/>
  <c r="B31" i="1"/>
  <c r="B32" i="1" s="1"/>
  <c r="B26" i="1"/>
  <c r="F17" i="1"/>
  <c r="B23" i="1" s="1"/>
  <c r="B57" i="1" s="1"/>
  <c r="B12" i="1"/>
  <c r="D11" i="1"/>
  <c r="D6" i="1"/>
  <c r="C6" i="1"/>
  <c r="B59" i="1" l="1"/>
  <c r="D59" i="1" s="1"/>
  <c r="D60" i="1"/>
  <c r="B38" i="1"/>
  <c r="D7" i="1"/>
  <c r="C26" i="1" s="1"/>
  <c r="D26" i="1" s="1"/>
  <c r="C7" i="1"/>
  <c r="C12" i="1" s="1"/>
  <c r="D12" i="1" s="1"/>
  <c r="D13" i="1" s="1"/>
  <c r="D18" i="1" s="1"/>
  <c r="D19" i="1" s="1"/>
  <c r="E7" i="1"/>
  <c r="C38" i="1" s="1"/>
  <c r="B13" i="1"/>
  <c r="B18" i="1" s="1"/>
  <c r="B19" i="1" s="1"/>
  <c r="F18" i="1" s="1"/>
  <c r="D24" i="1" l="1"/>
  <c r="B58" i="1"/>
  <c r="D58" i="1" s="1"/>
  <c r="D38" i="1"/>
  <c r="C19" i="1"/>
  <c r="G17" i="1" s="1"/>
  <c r="C23" i="1" s="1"/>
  <c r="F19" i="1"/>
  <c r="C13" i="1"/>
  <c r="D23" i="1" l="1"/>
  <c r="D27" i="1" s="1"/>
  <c r="C27" i="1" s="1"/>
  <c r="C31" i="1" s="1"/>
  <c r="C57" i="1"/>
  <c r="D57" i="1" s="1"/>
  <c r="D61" i="1" s="1"/>
  <c r="C61" i="1" s="1"/>
  <c r="G18" i="1"/>
  <c r="H18" i="1" s="1"/>
  <c r="H17" i="1"/>
  <c r="D31" i="1" l="1"/>
  <c r="D32" i="1" s="1"/>
  <c r="C32" i="1" s="1"/>
  <c r="G30" i="1" s="1"/>
  <c r="H30" i="1" s="1"/>
  <c r="H19" i="1"/>
  <c r="C36" i="1" l="1"/>
  <c r="D36" i="1" s="1"/>
  <c r="D39" i="1" s="1"/>
  <c r="C39" i="1" s="1"/>
  <c r="C43" i="1" s="1"/>
  <c r="D43" i="1" l="1"/>
  <c r="D44" i="1" s="1"/>
  <c r="C44" i="1" s="1"/>
  <c r="E15" i="3" l="1"/>
  <c r="B15" i="3"/>
  <c r="B16" i="3" s="1"/>
  <c r="E16" i="3" s="1"/>
  <c r="E17" i="3" s="1"/>
  <c r="C15" i="3"/>
  <c r="D15" i="3"/>
  <c r="A39" i="3" s="1"/>
  <c r="D16" i="3" l="1"/>
  <c r="D17" i="3" l="1"/>
  <c r="D20" i="3" s="1"/>
  <c r="C27" i="3" s="1"/>
  <c r="D27" i="3" s="1"/>
  <c r="D28" i="3" s="1"/>
  <c r="C28" i="3" s="1"/>
  <c r="A40" i="3"/>
  <c r="A41" i="3" s="1"/>
  <c r="A44" i="3" s="1"/>
  <c r="C50" i="3" s="1"/>
  <c r="D50" i="3" s="1"/>
  <c r="D51" i="3" s="1"/>
  <c r="C51" i="3" s="1"/>
</calcChain>
</file>

<file path=xl/sharedStrings.xml><?xml version="1.0" encoding="utf-8"?>
<sst xmlns="http://schemas.openxmlformats.org/spreadsheetml/2006/main" count="127" uniqueCount="57">
  <si>
    <t>Logistique</t>
  </si>
  <si>
    <t>Approvisionnement</t>
  </si>
  <si>
    <t>Production</t>
  </si>
  <si>
    <t>Administration</t>
  </si>
  <si>
    <t>Nature de l'Unité d'Œuvre</t>
  </si>
  <si>
    <t>Quantité de produits fabriqués</t>
  </si>
  <si>
    <t>100€ de CA</t>
  </si>
  <si>
    <t>TOTAL R. SECONDAIRE</t>
  </si>
  <si>
    <t>Nombre UO</t>
  </si>
  <si>
    <t>M² de tissu et de cuir achetés</t>
  </si>
  <si>
    <t>Coût Unité d'œuvre</t>
  </si>
  <si>
    <t>Quantité</t>
  </si>
  <si>
    <t>Prix unitaire</t>
  </si>
  <si>
    <t>Montant</t>
  </si>
  <si>
    <t>COUT D’APPROVISIONNEMENT</t>
  </si>
  <si>
    <t>Achat</t>
  </si>
  <si>
    <t>Charges indirectes Appr</t>
  </si>
  <si>
    <t>COUT ACHAT DU CUIR</t>
  </si>
  <si>
    <t>ENTRÉES</t>
  </si>
  <si>
    <t>Prix Unitaire</t>
  </si>
  <si>
    <t>SORTIES</t>
  </si>
  <si>
    <t>Stock initial</t>
  </si>
  <si>
    <t>Consommation de cuir pour la fabrication des bobs</t>
  </si>
  <si>
    <t>Stock Final</t>
  </si>
  <si>
    <t>TOTAL</t>
  </si>
  <si>
    <t>STOCK DE CUIR</t>
  </si>
  <si>
    <t>Entrées</t>
  </si>
  <si>
    <t>COUT DE PRODUCTION</t>
  </si>
  <si>
    <t>Consommation de cuir</t>
  </si>
  <si>
    <t>Charges indirectes</t>
  </si>
  <si>
    <t>Ventes</t>
  </si>
  <si>
    <t>Coût de production des bobs vendus</t>
  </si>
  <si>
    <t>COUT DE REVIENT</t>
  </si>
  <si>
    <t>Distribution</t>
  </si>
  <si>
    <t>Charges ind Adm</t>
  </si>
  <si>
    <t>MOD découpe</t>
  </si>
  <si>
    <t>MOD Moulage</t>
  </si>
  <si>
    <t>Chiffre d’affaires des bobs</t>
  </si>
  <si>
    <t>RESULTAT ANALYTIQUE</t>
  </si>
  <si>
    <t>Coût de revient</t>
  </si>
  <si>
    <t>RAE</t>
  </si>
  <si>
    <t>H. MOD découpe</t>
  </si>
  <si>
    <t>3 Le choix des clés de répartition génére des différences importantes au terme de coût d'un produit</t>
  </si>
  <si>
    <t>Centres auxilliaires</t>
  </si>
  <si>
    <t>Centres principaux</t>
  </si>
  <si>
    <t>Maintenance</t>
  </si>
  <si>
    <t>Sous traitance</t>
  </si>
  <si>
    <t>Répartition primaire</t>
  </si>
  <si>
    <t>Répartition secondaire</t>
  </si>
  <si>
    <t>Nature de l'unité d'œuvre</t>
  </si>
  <si>
    <t>1€ d'achat de matières premières</t>
  </si>
  <si>
    <t>Non demandé</t>
  </si>
  <si>
    <t>Nombre d’unités d’œuvre</t>
  </si>
  <si>
    <t>Coût de l’unité d’œuvre</t>
  </si>
  <si>
    <t>COUT ACHAT DE L'ALUMINIUM</t>
  </si>
  <si>
    <t>Kg de MP acheté</t>
  </si>
  <si>
    <t>Car le carbone est acheté moins cher mais en plus grande quantité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</si>
</sst>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00000\ &quot;€&quot;_-;\-* #,##0.00000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6" fontId="2" fillId="0" borderId="4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0" fillId="0" borderId="5" xfId="0" applyBorder="1"/>
    <xf numFmtId="6" fontId="0" fillId="0" borderId="5" xfId="0" applyNumberFormat="1" applyBorder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0" fillId="2" borderId="5" xfId="0" applyFill="1" applyBorder="1"/>
    <xf numFmtId="8" fontId="0" fillId="2" borderId="5" xfId="0" applyNumberFormat="1" applyFill="1" applyBorder="1"/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4" fontId="4" fillId="0" borderId="5" xfId="1" applyFont="1" applyBorder="1" applyAlignment="1">
      <alignment horizontal="center" vertical="center" wrapText="1"/>
    </xf>
    <xf numFmtId="44" fontId="5" fillId="0" borderId="5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4" fontId="4" fillId="0" borderId="5" xfId="0" applyNumberFormat="1" applyFont="1" applyBorder="1" applyAlignment="1">
      <alignment horizontal="center" vertical="center"/>
    </xf>
    <xf numFmtId="44" fontId="5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44" fontId="4" fillId="0" borderId="5" xfId="0" applyNumberFormat="1" applyFont="1" applyBorder="1" applyAlignment="1">
      <alignment horizontal="center" vertical="center" wrapText="1"/>
    </xf>
    <xf numFmtId="44" fontId="5" fillId="0" borderId="5" xfId="0" applyNumberFormat="1" applyFont="1" applyBorder="1" applyAlignment="1">
      <alignment horizontal="center" vertical="center" wrapText="1"/>
    </xf>
    <xf numFmtId="8" fontId="4" fillId="0" borderId="5" xfId="0" applyNumberFormat="1" applyFont="1" applyBorder="1" applyAlignment="1">
      <alignment horizontal="right" vertical="center" wrapText="1"/>
    </xf>
    <xf numFmtId="44" fontId="4" fillId="0" borderId="5" xfId="1" applyFont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0" fillId="0" borderId="0" xfId="0" quotePrefix="1"/>
    <xf numFmtId="44" fontId="5" fillId="0" borderId="5" xfId="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44" fontId="2" fillId="0" borderId="4" xfId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9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44" fontId="2" fillId="0" borderId="4" xfId="0" applyNumberFormat="1" applyFont="1" applyBorder="1" applyAlignment="1">
      <alignment vertical="center"/>
    </xf>
    <xf numFmtId="44" fontId="2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44" fontId="3" fillId="0" borderId="4" xfId="1" applyFont="1" applyBorder="1" applyAlignment="1">
      <alignment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F544B-16F5-4313-B3B1-E32C2A8D78E5}">
  <dimension ref="A2:J66"/>
  <sheetViews>
    <sheetView topLeftCell="A10" workbookViewId="0">
      <selection activeCell="G50" sqref="G50"/>
    </sheetView>
  </sheetViews>
  <sheetFormatPr baseColWidth="10" defaultRowHeight="14.4" x14ac:dyDescent="0.3"/>
  <cols>
    <col min="1" max="1" width="23" bestFit="1" customWidth="1"/>
    <col min="2" max="2" width="16.88671875" customWidth="1"/>
    <col min="3" max="3" width="18.5546875" bestFit="1" customWidth="1"/>
    <col min="4" max="4" width="27" bestFit="1" customWidth="1"/>
    <col min="5" max="5" width="18" customWidth="1"/>
    <col min="8" max="8" width="14.6640625" bestFit="1" customWidth="1"/>
  </cols>
  <sheetData>
    <row r="2" spans="1:8" ht="15" thickBot="1" x14ac:dyDescent="0.35"/>
    <row r="3" spans="1:8" ht="15" thickBot="1" x14ac:dyDescent="0.35">
      <c r="A3" s="1"/>
      <c r="B3" s="2" t="s">
        <v>0</v>
      </c>
      <c r="C3" s="2" t="s">
        <v>1</v>
      </c>
      <c r="D3" s="2" t="s">
        <v>2</v>
      </c>
      <c r="E3" s="2" t="s">
        <v>3</v>
      </c>
    </row>
    <row r="4" spans="1:8" x14ac:dyDescent="0.3">
      <c r="A4" s="4" t="s">
        <v>7</v>
      </c>
      <c r="B4" s="5"/>
      <c r="C4" s="6">
        <v>121000</v>
      </c>
      <c r="D4" s="6">
        <v>600000</v>
      </c>
      <c r="E4" s="6">
        <f>14*17430</f>
        <v>244020</v>
      </c>
    </row>
    <row r="5" spans="1:8" ht="33" customHeight="1" x14ac:dyDescent="0.3">
      <c r="A5" s="7" t="s">
        <v>4</v>
      </c>
      <c r="B5" s="5"/>
      <c r="C5" s="8" t="s">
        <v>9</v>
      </c>
      <c r="D5" s="8" t="s">
        <v>5</v>
      </c>
      <c r="E5" s="8" t="s">
        <v>6</v>
      </c>
    </row>
    <row r="6" spans="1:8" x14ac:dyDescent="0.3">
      <c r="A6" s="9" t="s">
        <v>8</v>
      </c>
      <c r="B6" s="10"/>
      <c r="C6" s="10">
        <f>7600+3400</f>
        <v>11000</v>
      </c>
      <c r="D6" s="10">
        <f>8000+32000</f>
        <v>40000</v>
      </c>
      <c r="E6" s="10">
        <f>(1190000+7900*70)/100</f>
        <v>17430</v>
      </c>
    </row>
    <row r="7" spans="1:8" x14ac:dyDescent="0.3">
      <c r="A7" s="9" t="s">
        <v>10</v>
      </c>
      <c r="B7" s="10"/>
      <c r="C7" s="11">
        <f>C4/C6</f>
        <v>11</v>
      </c>
      <c r="D7" s="11">
        <f t="shared" ref="D7:E7" si="0">D4/D6</f>
        <v>15</v>
      </c>
      <c r="E7" s="11">
        <f t="shared" si="0"/>
        <v>14</v>
      </c>
      <c r="G7">
        <v>1.5</v>
      </c>
    </row>
    <row r="9" spans="1:8" x14ac:dyDescent="0.3">
      <c r="A9" t="s">
        <v>17</v>
      </c>
    </row>
    <row r="10" spans="1:8" ht="15.6" x14ac:dyDescent="0.3">
      <c r="A10" s="12"/>
      <c r="B10" s="13" t="s">
        <v>11</v>
      </c>
      <c r="C10" s="13" t="s">
        <v>12</v>
      </c>
      <c r="D10" s="13" t="s">
        <v>13</v>
      </c>
    </row>
    <row r="11" spans="1:8" ht="15.6" x14ac:dyDescent="0.3">
      <c r="A11" s="12" t="s">
        <v>15</v>
      </c>
      <c r="B11" s="12">
        <v>3400</v>
      </c>
      <c r="C11" s="15">
        <v>20</v>
      </c>
      <c r="D11" s="15">
        <f>B11*C11</f>
        <v>68000</v>
      </c>
    </row>
    <row r="12" spans="1:8" ht="15.6" x14ac:dyDescent="0.3">
      <c r="A12" s="12" t="s">
        <v>16</v>
      </c>
      <c r="B12" s="12">
        <f>B11</f>
        <v>3400</v>
      </c>
      <c r="C12" s="15">
        <f>C7</f>
        <v>11</v>
      </c>
      <c r="D12" s="15">
        <f>B12*C12</f>
        <v>37400</v>
      </c>
    </row>
    <row r="13" spans="1:8" ht="22.8" x14ac:dyDescent="0.3">
      <c r="A13" s="14" t="s">
        <v>14</v>
      </c>
      <c r="B13" s="13">
        <f>B12</f>
        <v>3400</v>
      </c>
      <c r="C13" s="16">
        <f>D13/B13</f>
        <v>31</v>
      </c>
      <c r="D13" s="16">
        <f>D11+D12</f>
        <v>105400</v>
      </c>
      <c r="G13">
        <v>1</v>
      </c>
    </row>
    <row r="15" spans="1:8" ht="16.2" thickBot="1" x14ac:dyDescent="0.35">
      <c r="A15" s="21" t="s">
        <v>25</v>
      </c>
    </row>
    <row r="16" spans="1:8" ht="15.6" x14ac:dyDescent="0.3">
      <c r="A16" s="17" t="s">
        <v>18</v>
      </c>
      <c r="B16" s="18" t="s">
        <v>11</v>
      </c>
      <c r="C16" s="18" t="s">
        <v>19</v>
      </c>
      <c r="D16" s="18" t="s">
        <v>13</v>
      </c>
      <c r="E16" s="18" t="s">
        <v>20</v>
      </c>
      <c r="F16" s="18" t="s">
        <v>11</v>
      </c>
      <c r="G16" s="18" t="s">
        <v>19</v>
      </c>
      <c r="H16" s="18" t="s">
        <v>13</v>
      </c>
    </row>
    <row r="17" spans="1:10" ht="62.4" x14ac:dyDescent="0.3">
      <c r="A17" s="19" t="s">
        <v>21</v>
      </c>
      <c r="B17" s="19">
        <v>100</v>
      </c>
      <c r="C17" s="19"/>
      <c r="D17" s="19">
        <v>1350</v>
      </c>
      <c r="E17" s="12" t="s">
        <v>22</v>
      </c>
      <c r="F17" s="19">
        <f>8000*0.4</f>
        <v>3200</v>
      </c>
      <c r="G17" s="22">
        <f>C19</f>
        <v>30.5</v>
      </c>
      <c r="H17" s="22">
        <f>F17*G17</f>
        <v>97600</v>
      </c>
      <c r="J17">
        <v>1.5</v>
      </c>
    </row>
    <row r="18" spans="1:10" ht="15.6" x14ac:dyDescent="0.3">
      <c r="A18" s="19" t="s">
        <v>26</v>
      </c>
      <c r="B18" s="19">
        <f>B13</f>
        <v>3400</v>
      </c>
      <c r="C18" s="19"/>
      <c r="D18" s="22">
        <f>D13</f>
        <v>105400</v>
      </c>
      <c r="E18" s="19" t="s">
        <v>23</v>
      </c>
      <c r="F18" s="19">
        <f>B19-F17</f>
        <v>300</v>
      </c>
      <c r="G18" s="22">
        <f>G17</f>
        <v>30.5</v>
      </c>
      <c r="H18" s="22">
        <f>F18*G18</f>
        <v>9150</v>
      </c>
    </row>
    <row r="19" spans="1:10" ht="15.6" x14ac:dyDescent="0.3">
      <c r="A19" s="20" t="s">
        <v>24</v>
      </c>
      <c r="B19" s="20">
        <f>B18+B17</f>
        <v>3500</v>
      </c>
      <c r="C19" s="23">
        <f>D19/B19</f>
        <v>30.5</v>
      </c>
      <c r="D19" s="23">
        <f>D17+D18</f>
        <v>106750</v>
      </c>
      <c r="E19" s="20" t="s">
        <v>24</v>
      </c>
      <c r="F19" s="20">
        <f>F17+F18</f>
        <v>3500</v>
      </c>
      <c r="G19" s="20"/>
      <c r="H19" s="23">
        <f>H17+H18</f>
        <v>106750</v>
      </c>
    </row>
    <row r="22" spans="1:10" ht="15.6" x14ac:dyDescent="0.3">
      <c r="A22" s="24"/>
      <c r="B22" s="13" t="s">
        <v>11</v>
      </c>
      <c r="C22" s="13" t="s">
        <v>19</v>
      </c>
      <c r="D22" s="13" t="s">
        <v>13</v>
      </c>
    </row>
    <row r="23" spans="1:10" ht="15.6" x14ac:dyDescent="0.3">
      <c r="A23" s="24" t="s">
        <v>28</v>
      </c>
      <c r="B23" s="12">
        <f>F17</f>
        <v>3200</v>
      </c>
      <c r="C23" s="27">
        <f>G17</f>
        <v>30.5</v>
      </c>
      <c r="D23" s="27">
        <f>B23*C23</f>
        <v>97600</v>
      </c>
      <c r="E23">
        <v>0.5</v>
      </c>
    </row>
    <row r="24" spans="1:10" ht="15.6" x14ac:dyDescent="0.3">
      <c r="A24" s="24" t="s">
        <v>35</v>
      </c>
      <c r="B24" s="12">
        <f>8000*0.5</f>
        <v>4000</v>
      </c>
      <c r="C24" s="15">
        <v>30</v>
      </c>
      <c r="D24" s="15">
        <f>B24*C24</f>
        <v>120000</v>
      </c>
      <c r="E24">
        <v>1</v>
      </c>
    </row>
    <row r="25" spans="1:10" ht="15.6" x14ac:dyDescent="0.3">
      <c r="A25" s="24" t="s">
        <v>36</v>
      </c>
      <c r="B25" s="12">
        <f>8000*18/60</f>
        <v>2400</v>
      </c>
      <c r="C25" s="15">
        <v>35</v>
      </c>
      <c r="D25" s="15">
        <f>B25*C25</f>
        <v>84000</v>
      </c>
      <c r="E25">
        <v>1</v>
      </c>
    </row>
    <row r="26" spans="1:10" ht="15.6" x14ac:dyDescent="0.3">
      <c r="A26" s="24" t="s">
        <v>29</v>
      </c>
      <c r="B26" s="12">
        <f>8000</f>
        <v>8000</v>
      </c>
      <c r="C26" s="29">
        <f>D7</f>
        <v>15</v>
      </c>
      <c r="D26" s="29">
        <f>B26*C26</f>
        <v>120000</v>
      </c>
      <c r="E26">
        <v>0.5</v>
      </c>
    </row>
    <row r="27" spans="1:10" ht="15.6" x14ac:dyDescent="0.3">
      <c r="A27" s="26" t="s">
        <v>27</v>
      </c>
      <c r="B27" s="13">
        <v>8000</v>
      </c>
      <c r="C27" s="28">
        <f>D27/B27</f>
        <v>52.7</v>
      </c>
      <c r="D27" s="28">
        <f>SUM(D23:D26)</f>
        <v>421600</v>
      </c>
    </row>
    <row r="29" spans="1:10" ht="15.6" x14ac:dyDescent="0.3">
      <c r="A29" s="20" t="s">
        <v>18</v>
      </c>
      <c r="B29" s="20" t="s">
        <v>11</v>
      </c>
      <c r="C29" s="20" t="s">
        <v>19</v>
      </c>
      <c r="D29" s="20" t="s">
        <v>13</v>
      </c>
      <c r="E29" s="20" t="s">
        <v>20</v>
      </c>
      <c r="F29" s="20" t="s">
        <v>11</v>
      </c>
      <c r="G29" s="20" t="s">
        <v>19</v>
      </c>
      <c r="H29" s="20" t="s">
        <v>13</v>
      </c>
    </row>
    <row r="30" spans="1:10" ht="15.6" x14ac:dyDescent="0.3">
      <c r="A30" s="19" t="s">
        <v>21</v>
      </c>
      <c r="B30" s="19">
        <v>1560</v>
      </c>
      <c r="C30" s="30">
        <v>42.282051282051292</v>
      </c>
      <c r="D30" s="30">
        <f>B30*C30</f>
        <v>65960.000000000015</v>
      </c>
      <c r="E30" s="12" t="s">
        <v>30</v>
      </c>
      <c r="F30" s="19">
        <v>7900</v>
      </c>
      <c r="G30" s="22">
        <f>C32</f>
        <v>51</v>
      </c>
      <c r="H30" s="22">
        <f>F30*G30</f>
        <v>402900</v>
      </c>
    </row>
    <row r="31" spans="1:10" ht="15.6" x14ac:dyDescent="0.3">
      <c r="A31" s="19" t="s">
        <v>26</v>
      </c>
      <c r="B31" s="19">
        <f>B27</f>
        <v>8000</v>
      </c>
      <c r="C31" s="30">
        <f>C27</f>
        <v>52.7</v>
      </c>
      <c r="D31" s="30">
        <f>D27</f>
        <v>421600</v>
      </c>
      <c r="E31" s="19" t="s">
        <v>23</v>
      </c>
      <c r="F31" s="19"/>
      <c r="G31" s="19"/>
      <c r="H31" s="19"/>
      <c r="J31">
        <v>1</v>
      </c>
    </row>
    <row r="32" spans="1:10" ht="15.6" x14ac:dyDescent="0.3">
      <c r="A32" s="20" t="s">
        <v>24</v>
      </c>
      <c r="B32" s="20">
        <f>B30+B31</f>
        <v>9560</v>
      </c>
      <c r="C32" s="34">
        <f>D32/B32</f>
        <v>51</v>
      </c>
      <c r="D32" s="23">
        <f>D30+D31</f>
        <v>487560</v>
      </c>
      <c r="E32" s="20" t="s">
        <v>24</v>
      </c>
      <c r="F32" s="20"/>
      <c r="G32" s="20"/>
      <c r="H32" s="20"/>
    </row>
    <row r="35" spans="1:5" ht="15.6" x14ac:dyDescent="0.3">
      <c r="A35" s="24"/>
      <c r="B35" s="13" t="s">
        <v>11</v>
      </c>
      <c r="C35" s="13" t="s">
        <v>19</v>
      </c>
      <c r="D35" s="13" t="s">
        <v>13</v>
      </c>
    </row>
    <row r="36" spans="1:5" ht="31.2" x14ac:dyDescent="0.3">
      <c r="A36" s="24" t="s">
        <v>31</v>
      </c>
      <c r="B36" s="12">
        <f>F30</f>
        <v>7900</v>
      </c>
      <c r="C36" s="27">
        <f>G30</f>
        <v>51</v>
      </c>
      <c r="D36" s="27">
        <f>B36*C36</f>
        <v>402900</v>
      </c>
      <c r="E36">
        <v>0.5</v>
      </c>
    </row>
    <row r="37" spans="1:5" ht="15.6" x14ac:dyDescent="0.3">
      <c r="A37" s="24" t="s">
        <v>33</v>
      </c>
      <c r="B37" s="27">
        <f>D42</f>
        <v>553000</v>
      </c>
      <c r="C37" s="31">
        <v>0.1</v>
      </c>
      <c r="D37" s="15">
        <f>B37*C37</f>
        <v>55300</v>
      </c>
      <c r="E37">
        <v>1</v>
      </c>
    </row>
    <row r="38" spans="1:5" ht="15.6" x14ac:dyDescent="0.3">
      <c r="A38" s="32" t="s">
        <v>34</v>
      </c>
      <c r="B38" s="12">
        <f>B37/100</f>
        <v>5530</v>
      </c>
      <c r="C38" s="29">
        <f>E7</f>
        <v>14</v>
      </c>
      <c r="D38" s="29">
        <f>B38*C38</f>
        <v>77420</v>
      </c>
      <c r="E38">
        <v>1</v>
      </c>
    </row>
    <row r="39" spans="1:5" ht="15.6" x14ac:dyDescent="0.3">
      <c r="A39" s="25" t="s">
        <v>32</v>
      </c>
      <c r="B39" s="13">
        <f>B36</f>
        <v>7900</v>
      </c>
      <c r="C39" s="28">
        <f>D39/B39</f>
        <v>67.8</v>
      </c>
      <c r="D39" s="28">
        <f>D36+D37+D38</f>
        <v>535620</v>
      </c>
    </row>
    <row r="41" spans="1:5" ht="15.6" x14ac:dyDescent="0.3">
      <c r="A41" s="24" t="s">
        <v>40</v>
      </c>
      <c r="B41" s="13" t="s">
        <v>11</v>
      </c>
      <c r="C41" s="13" t="s">
        <v>19</v>
      </c>
      <c r="D41" s="13" t="s">
        <v>13</v>
      </c>
    </row>
    <row r="42" spans="1:5" ht="30" customHeight="1" x14ac:dyDescent="0.3">
      <c r="A42" s="24" t="s">
        <v>37</v>
      </c>
      <c r="B42" s="12">
        <v>7900</v>
      </c>
      <c r="C42" s="15">
        <v>70</v>
      </c>
      <c r="D42" s="15">
        <f>B42*C42</f>
        <v>553000</v>
      </c>
    </row>
    <row r="43" spans="1:5" ht="15.6" x14ac:dyDescent="0.3">
      <c r="A43" s="24" t="s">
        <v>39</v>
      </c>
      <c r="B43" s="12">
        <f>B39</f>
        <v>7900</v>
      </c>
      <c r="C43" s="15">
        <f t="shared" ref="C43:D43" si="1">C39</f>
        <v>67.8</v>
      </c>
      <c r="D43" s="15">
        <f t="shared" si="1"/>
        <v>535620</v>
      </c>
    </row>
    <row r="44" spans="1:5" ht="15.6" x14ac:dyDescent="0.3">
      <c r="A44" s="26" t="s">
        <v>38</v>
      </c>
      <c r="B44" s="13">
        <f>B43</f>
        <v>7900</v>
      </c>
      <c r="C44" s="28">
        <f>D44/B44</f>
        <v>2.2000000000000002</v>
      </c>
      <c r="D44" s="28">
        <f>D42-D43</f>
        <v>17380</v>
      </c>
      <c r="E44">
        <v>0.5</v>
      </c>
    </row>
    <row r="46" spans="1:5" x14ac:dyDescent="0.3">
      <c r="E46">
        <f>SUM(E36:E44)+SUM(J17:J31)+SUM(G4:G13)+SUM(E23:E26)</f>
        <v>11</v>
      </c>
    </row>
    <row r="48" spans="1:5" ht="15" thickBot="1" x14ac:dyDescent="0.35"/>
    <row r="49" spans="1:6" ht="15" thickBot="1" x14ac:dyDescent="0.35">
      <c r="A49" s="2" t="s">
        <v>2</v>
      </c>
    </row>
    <row r="50" spans="1:6" ht="15" thickBot="1" x14ac:dyDescent="0.35">
      <c r="A50" s="3">
        <v>600000</v>
      </c>
    </row>
    <row r="51" spans="1:6" x14ac:dyDescent="0.3">
      <c r="A51" s="8" t="s">
        <v>41</v>
      </c>
    </row>
    <row r="52" spans="1:6" x14ac:dyDescent="0.3">
      <c r="A52" s="10">
        <f>8000*0.5+0.25*32000</f>
        <v>12000</v>
      </c>
    </row>
    <row r="53" spans="1:6" x14ac:dyDescent="0.3">
      <c r="A53" s="11">
        <f>A50/A52</f>
        <v>50</v>
      </c>
      <c r="E53">
        <v>1</v>
      </c>
    </row>
    <row r="56" spans="1:6" ht="15.6" x14ac:dyDescent="0.3">
      <c r="A56" s="24"/>
      <c r="B56" s="13" t="s">
        <v>11</v>
      </c>
      <c r="C56" s="13" t="s">
        <v>19</v>
      </c>
      <c r="D56" s="13" t="s">
        <v>13</v>
      </c>
    </row>
    <row r="57" spans="1:6" ht="15.6" x14ac:dyDescent="0.3">
      <c r="A57" s="24" t="s">
        <v>28</v>
      </c>
      <c r="B57" s="12">
        <f>B23</f>
        <v>3200</v>
      </c>
      <c r="C57" s="27">
        <f>C23</f>
        <v>30.5</v>
      </c>
      <c r="D57" s="27">
        <f>B57*C57</f>
        <v>97600</v>
      </c>
    </row>
    <row r="58" spans="1:6" ht="15.6" x14ac:dyDescent="0.3">
      <c r="A58" s="24" t="s">
        <v>35</v>
      </c>
      <c r="B58" s="12">
        <f t="shared" ref="B58:C59" si="2">B24</f>
        <v>4000</v>
      </c>
      <c r="C58" s="27">
        <f t="shared" si="2"/>
        <v>30</v>
      </c>
      <c r="D58" s="15">
        <f>B58*C58</f>
        <v>120000</v>
      </c>
    </row>
    <row r="59" spans="1:6" ht="15.6" x14ac:dyDescent="0.3">
      <c r="A59" s="24" t="s">
        <v>36</v>
      </c>
      <c r="B59" s="12">
        <f t="shared" si="2"/>
        <v>2400</v>
      </c>
      <c r="C59" s="27">
        <f t="shared" si="2"/>
        <v>35</v>
      </c>
      <c r="D59" s="15">
        <f>B59*C59</f>
        <v>84000</v>
      </c>
    </row>
    <row r="60" spans="1:6" ht="15.6" x14ac:dyDescent="0.3">
      <c r="A60" s="24" t="s">
        <v>29</v>
      </c>
      <c r="B60" s="12">
        <f>8000*0.5</f>
        <v>4000</v>
      </c>
      <c r="C60" s="29">
        <f>A53</f>
        <v>50</v>
      </c>
      <c r="D60" s="29">
        <f>B60*C60</f>
        <v>200000</v>
      </c>
      <c r="E60">
        <v>1</v>
      </c>
    </row>
    <row r="61" spans="1:6" ht="15.6" x14ac:dyDescent="0.3">
      <c r="A61" s="26" t="s">
        <v>27</v>
      </c>
      <c r="B61" s="13">
        <v>8000</v>
      </c>
      <c r="C61" s="28">
        <f>D61/B61</f>
        <v>62.7</v>
      </c>
      <c r="D61" s="28">
        <f>SUM(D57:D60)</f>
        <v>501600</v>
      </c>
    </row>
    <row r="64" spans="1:6" x14ac:dyDescent="0.3">
      <c r="A64" s="33" t="s">
        <v>42</v>
      </c>
      <c r="F64">
        <v>2</v>
      </c>
    </row>
    <row r="66" spans="6:6" x14ac:dyDescent="0.3">
      <c r="F66">
        <f>E46+E53+E60+F64</f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DB072-AE40-4008-9B5F-FF36B198A533}">
  <dimension ref="A1:F51"/>
  <sheetViews>
    <sheetView tabSelected="1" topLeftCell="A16" workbookViewId="0">
      <selection activeCell="E24" sqref="E24"/>
    </sheetView>
  </sheetViews>
  <sheetFormatPr baseColWidth="10" defaultRowHeight="14.4" x14ac:dyDescent="0.3"/>
  <cols>
    <col min="1" max="1" width="47.6640625" customWidth="1"/>
    <col min="2" max="5" width="22" customWidth="1"/>
  </cols>
  <sheetData>
    <row r="1" spans="1:5" ht="15" thickBot="1" x14ac:dyDescent="0.35">
      <c r="B1" s="48" t="s">
        <v>43</v>
      </c>
      <c r="C1" s="49"/>
      <c r="D1" s="50" t="s">
        <v>44</v>
      </c>
      <c r="E1" s="50"/>
    </row>
    <row r="2" spans="1:5" ht="15" thickBot="1" x14ac:dyDescent="0.35">
      <c r="A2" s="1"/>
      <c r="B2" s="35" t="s">
        <v>45</v>
      </c>
      <c r="C2" s="35" t="s">
        <v>46</v>
      </c>
      <c r="D2" s="36" t="s">
        <v>1</v>
      </c>
      <c r="E2" s="36" t="s">
        <v>2</v>
      </c>
    </row>
    <row r="3" spans="1:5" ht="15" thickBot="1" x14ac:dyDescent="0.35">
      <c r="A3" s="37" t="s">
        <v>47</v>
      </c>
      <c r="B3" s="38">
        <v>8000</v>
      </c>
      <c r="C3" s="38">
        <v>6000</v>
      </c>
      <c r="D3" s="38">
        <v>49480</v>
      </c>
      <c r="E3" s="38">
        <v>25000</v>
      </c>
    </row>
    <row r="4" spans="1:5" ht="15" thickBot="1" x14ac:dyDescent="0.35">
      <c r="A4" s="39" t="s">
        <v>45</v>
      </c>
      <c r="B4" s="40"/>
      <c r="C4" s="40"/>
      <c r="D4" s="40">
        <v>0.4</v>
      </c>
      <c r="E4" s="40">
        <v>0.6</v>
      </c>
    </row>
    <row r="5" spans="1:5" ht="15" thickBot="1" x14ac:dyDescent="0.35">
      <c r="A5" s="39" t="s">
        <v>46</v>
      </c>
      <c r="B5" s="40">
        <v>0.3</v>
      </c>
      <c r="C5" s="41"/>
      <c r="D5" s="40">
        <v>0.4</v>
      </c>
      <c r="E5" s="40">
        <v>0.3</v>
      </c>
    </row>
    <row r="6" spans="1:5" ht="15" thickBot="1" x14ac:dyDescent="0.35">
      <c r="A6" s="37" t="s">
        <v>48</v>
      </c>
      <c r="B6" s="42"/>
      <c r="C6" s="42"/>
      <c r="D6" s="3"/>
      <c r="E6" s="43"/>
    </row>
    <row r="7" spans="1:5" ht="15" thickBot="1" x14ac:dyDescent="0.35">
      <c r="A7" s="37" t="s">
        <v>49</v>
      </c>
      <c r="B7" s="42"/>
      <c r="C7" s="42"/>
      <c r="D7" s="42" t="s">
        <v>50</v>
      </c>
      <c r="E7" s="51" t="s">
        <v>51</v>
      </c>
    </row>
    <row r="8" spans="1:5" ht="15" thickBot="1" x14ac:dyDescent="0.35">
      <c r="A8" s="37" t="s">
        <v>52</v>
      </c>
      <c r="B8" s="42"/>
      <c r="C8" s="42"/>
      <c r="D8">
        <f>500*90+85000+800*70</f>
        <v>186000</v>
      </c>
      <c r="E8" s="52"/>
    </row>
    <row r="9" spans="1:5" ht="15" thickBot="1" x14ac:dyDescent="0.35">
      <c r="A9" s="37" t="s">
        <v>53</v>
      </c>
      <c r="B9" s="42"/>
      <c r="C9" s="42"/>
      <c r="D9" s="42"/>
      <c r="E9" s="53"/>
    </row>
    <row r="12" spans="1:5" ht="15" thickBot="1" x14ac:dyDescent="0.35">
      <c r="B12" s="48" t="s">
        <v>43</v>
      </c>
      <c r="C12" s="49"/>
      <c r="D12" s="50" t="s">
        <v>44</v>
      </c>
      <c r="E12" s="50"/>
    </row>
    <row r="13" spans="1:5" ht="15" thickBot="1" x14ac:dyDescent="0.35">
      <c r="A13" s="1"/>
      <c r="B13" s="35" t="s">
        <v>45</v>
      </c>
      <c r="C13" s="35" t="s">
        <v>46</v>
      </c>
      <c r="D13" s="36" t="s">
        <v>1</v>
      </c>
      <c r="E13" s="36" t="s">
        <v>2</v>
      </c>
    </row>
    <row r="14" spans="1:5" ht="15" thickBot="1" x14ac:dyDescent="0.35">
      <c r="A14" s="37" t="s">
        <v>47</v>
      </c>
      <c r="B14" s="38">
        <v>8000</v>
      </c>
      <c r="C14" s="38">
        <v>6000</v>
      </c>
      <c r="D14" s="38">
        <v>49480</v>
      </c>
      <c r="E14" s="38">
        <v>25000</v>
      </c>
    </row>
    <row r="15" spans="1:5" ht="15" thickBot="1" x14ac:dyDescent="0.35">
      <c r="A15" s="39" t="s">
        <v>46</v>
      </c>
      <c r="B15" s="38">
        <f>B5*C15</f>
        <v>1800</v>
      </c>
      <c r="C15" s="44">
        <f>C14+C16</f>
        <v>6000</v>
      </c>
      <c r="D15" s="38">
        <f>C15*D5</f>
        <v>2400</v>
      </c>
      <c r="E15" s="38">
        <f>C15*E5</f>
        <v>1800</v>
      </c>
    </row>
    <row r="16" spans="1:5" ht="15" thickBot="1" x14ac:dyDescent="0.35">
      <c r="A16" s="39" t="s">
        <v>45</v>
      </c>
      <c r="B16" s="44">
        <f>-(B14+B15)</f>
        <v>-9800</v>
      </c>
      <c r="C16" s="38"/>
      <c r="D16" s="38">
        <f>-D4*B16</f>
        <v>3920</v>
      </c>
      <c r="E16" s="38">
        <f>-E4*B16</f>
        <v>5880</v>
      </c>
    </row>
    <row r="17" spans="1:6" ht="15" thickBot="1" x14ac:dyDescent="0.35">
      <c r="A17" s="37" t="s">
        <v>48</v>
      </c>
      <c r="B17" s="42"/>
      <c r="C17" s="42"/>
      <c r="D17" s="45">
        <f>SUM(D14:D16)</f>
        <v>55800</v>
      </c>
      <c r="E17" s="45">
        <f>SUM(E14:E16)</f>
        <v>32680</v>
      </c>
      <c r="F17">
        <v>1</v>
      </c>
    </row>
    <row r="18" spans="1:6" ht="15" thickBot="1" x14ac:dyDescent="0.35">
      <c r="A18" s="37" t="s">
        <v>49</v>
      </c>
      <c r="B18" s="42"/>
      <c r="C18" s="42"/>
      <c r="D18" s="42" t="s">
        <v>50</v>
      </c>
      <c r="E18" s="51" t="s">
        <v>51</v>
      </c>
    </row>
    <row r="19" spans="1:6" ht="15" thickBot="1" x14ac:dyDescent="0.35">
      <c r="A19" s="37" t="s">
        <v>52</v>
      </c>
      <c r="B19" s="42"/>
      <c r="C19" s="42"/>
      <c r="D19">
        <f>500*90+85000+800*70</f>
        <v>186000</v>
      </c>
      <c r="E19" s="52"/>
    </row>
    <row r="20" spans="1:6" ht="15" thickBot="1" x14ac:dyDescent="0.35">
      <c r="A20" s="37" t="s">
        <v>53</v>
      </c>
      <c r="B20" s="42"/>
      <c r="C20" s="42"/>
      <c r="D20" s="46">
        <f>D17/D19</f>
        <v>0.3</v>
      </c>
      <c r="E20" s="53"/>
      <c r="F20">
        <v>1</v>
      </c>
    </row>
    <row r="24" spans="1:6" x14ac:dyDescent="0.3">
      <c r="A24" t="s">
        <v>54</v>
      </c>
    </row>
    <row r="25" spans="1:6" ht="15.6" x14ac:dyDescent="0.3">
      <c r="A25" s="12"/>
      <c r="B25" s="13" t="s">
        <v>11</v>
      </c>
      <c r="C25" s="13" t="s">
        <v>12</v>
      </c>
      <c r="D25" s="13" t="s">
        <v>13</v>
      </c>
    </row>
    <row r="26" spans="1:6" ht="15.6" x14ac:dyDescent="0.3">
      <c r="A26" s="12" t="s">
        <v>15</v>
      </c>
      <c r="B26" s="12">
        <v>400</v>
      </c>
      <c r="C26" s="15">
        <v>140</v>
      </c>
      <c r="D26" s="15">
        <f>B26*C26</f>
        <v>56000</v>
      </c>
    </row>
    <row r="27" spans="1:6" ht="15.6" x14ac:dyDescent="0.3">
      <c r="A27" s="12" t="s">
        <v>16</v>
      </c>
      <c r="B27" s="27">
        <f>+D26</f>
        <v>56000</v>
      </c>
      <c r="C27" s="15">
        <f>+D20</f>
        <v>0.3</v>
      </c>
      <c r="D27" s="15">
        <f>B27*C27</f>
        <v>16800</v>
      </c>
    </row>
    <row r="28" spans="1:6" ht="15.6" x14ac:dyDescent="0.3">
      <c r="A28" s="14" t="s">
        <v>14</v>
      </c>
      <c r="B28" s="13">
        <v>400</v>
      </c>
      <c r="C28" s="16">
        <f>D28/B28</f>
        <v>182</v>
      </c>
      <c r="D28" s="16">
        <f>D26+D27</f>
        <v>72800</v>
      </c>
      <c r="F28">
        <v>1</v>
      </c>
    </row>
    <row r="32" spans="1:6" x14ac:dyDescent="0.3">
      <c r="A32" t="s">
        <v>56</v>
      </c>
      <c r="F32">
        <v>1</v>
      </c>
    </row>
    <row r="37" spans="1:4" ht="15" thickBot="1" x14ac:dyDescent="0.35">
      <c r="A37" s="36" t="s">
        <v>1</v>
      </c>
    </row>
    <row r="38" spans="1:4" ht="15" thickBot="1" x14ac:dyDescent="0.35">
      <c r="A38" s="38">
        <v>49480</v>
      </c>
    </row>
    <row r="39" spans="1:4" ht="15" thickBot="1" x14ac:dyDescent="0.35">
      <c r="A39" s="38">
        <f>+D15</f>
        <v>2400</v>
      </c>
    </row>
    <row r="40" spans="1:4" ht="15" thickBot="1" x14ac:dyDescent="0.35">
      <c r="A40" s="38">
        <f>+D16</f>
        <v>3920</v>
      </c>
    </row>
    <row r="41" spans="1:4" ht="15" thickBot="1" x14ac:dyDescent="0.35">
      <c r="A41" s="45">
        <f>SUM(A38:A40)</f>
        <v>55800</v>
      </c>
    </row>
    <row r="42" spans="1:4" ht="15" thickBot="1" x14ac:dyDescent="0.35">
      <c r="A42" s="42" t="s">
        <v>55</v>
      </c>
    </row>
    <row r="43" spans="1:4" x14ac:dyDescent="0.3">
      <c r="A43">
        <f>500+1000+400</f>
        <v>1900</v>
      </c>
    </row>
    <row r="44" spans="1:4" ht="15" thickBot="1" x14ac:dyDescent="0.35">
      <c r="A44" s="47">
        <f>A41/A43</f>
        <v>29.368421052631579</v>
      </c>
    </row>
    <row r="47" spans="1:4" x14ac:dyDescent="0.3">
      <c r="A47" t="s">
        <v>54</v>
      </c>
    </row>
    <row r="48" spans="1:4" ht="15.6" x14ac:dyDescent="0.3">
      <c r="A48" s="12"/>
      <c r="B48" s="13" t="s">
        <v>11</v>
      </c>
      <c r="C48" s="13" t="s">
        <v>12</v>
      </c>
      <c r="D48" s="13" t="s">
        <v>13</v>
      </c>
    </row>
    <row r="49" spans="1:6" ht="15.6" x14ac:dyDescent="0.3">
      <c r="A49" s="12" t="s">
        <v>15</v>
      </c>
      <c r="B49" s="12">
        <v>400</v>
      </c>
      <c r="C49" s="15">
        <v>140</v>
      </c>
      <c r="D49" s="15">
        <f>B49*C49</f>
        <v>56000</v>
      </c>
    </row>
    <row r="50" spans="1:6" ht="15.6" x14ac:dyDescent="0.3">
      <c r="A50" s="12" t="s">
        <v>16</v>
      </c>
      <c r="B50" s="27">
        <v>400</v>
      </c>
      <c r="C50" s="15">
        <f>A44</f>
        <v>29.368421052631579</v>
      </c>
      <c r="D50" s="15">
        <f>B50*C50</f>
        <v>11747.368421052632</v>
      </c>
    </row>
    <row r="51" spans="1:6" ht="15.6" x14ac:dyDescent="0.3">
      <c r="A51" s="14" t="s">
        <v>14</v>
      </c>
      <c r="B51" s="13">
        <v>400</v>
      </c>
      <c r="C51" s="16">
        <f>D51/B51</f>
        <v>169.36842105263156</v>
      </c>
      <c r="D51" s="16">
        <f>D49+D50</f>
        <v>67747.368421052626</v>
      </c>
      <c r="F51">
        <v>1</v>
      </c>
    </row>
  </sheetData>
  <mergeCells count="6">
    <mergeCell ref="E18:E20"/>
    <mergeCell ref="B1:C1"/>
    <mergeCell ref="D1:E1"/>
    <mergeCell ref="E7:E9"/>
    <mergeCell ref="B12:C12"/>
    <mergeCell ref="D12:E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29F2146C75048A695AB3F03D98EF9" ma:contentTypeVersion="12" ma:contentTypeDescription="Crée un document." ma:contentTypeScope="" ma:versionID="593fe474a2b626ff8fae06f532e25cf9">
  <xsd:schema xmlns:xsd="http://www.w3.org/2001/XMLSchema" xmlns:xs="http://www.w3.org/2001/XMLSchema" xmlns:p="http://schemas.microsoft.com/office/2006/metadata/properties" xmlns:ns3="1b6f2b70-d5a1-4544-a145-5b4293f13656" targetNamespace="http://schemas.microsoft.com/office/2006/metadata/properties" ma:root="true" ma:fieldsID="c42e6d508d3efa228f8e71bc8e9b8256" ns3:_="">
    <xsd:import namespace="1b6f2b70-d5a1-4544-a145-5b4293f136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f2b70-d5a1-4544-a145-5b4293f13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b6f2b70-d5a1-4544-a145-5b4293f13656" xsi:nil="true"/>
  </documentManagement>
</p:properties>
</file>

<file path=customXml/itemProps1.xml><?xml version="1.0" encoding="utf-8"?>
<ds:datastoreItem xmlns:ds="http://schemas.openxmlformats.org/officeDocument/2006/customXml" ds:itemID="{913A73FB-2CA7-4FEF-A15A-C17BCC18C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6f2b70-d5a1-4544-a145-5b4293f136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8D4C3B-D35F-4568-BBEC-C93AD8BD9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F0B11F-842D-4C34-81F3-243A8801C671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1b6f2b70-d5a1-4544-a145-5b4293f13656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Noel</dc:creator>
  <cp:lastModifiedBy>Eric Noel</cp:lastModifiedBy>
  <dcterms:created xsi:type="dcterms:W3CDTF">2024-05-27T07:29:38Z</dcterms:created>
  <dcterms:modified xsi:type="dcterms:W3CDTF">2025-05-27T14:47:49Z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0x01010021529F2146C75048A695AB3F03D98EF9</vt:lpwstr>
  </property>
</Properties>
</file>