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 1\R209 Controle de Gestion\Devoirs FI\"/>
    </mc:Choice>
  </mc:AlternateContent>
  <xr:revisionPtr revIDLastSave="0" documentId="13_ncr:1_{3B640C48-25DC-4D69-A778-0EE408CD317F}" xr6:coauthVersionLast="47" xr6:coauthVersionMax="47" xr10:uidLastSave="{00000000-0000-0000-0000-000000000000}"/>
  <bookViews>
    <workbookView xWindow="3510" yWindow="3510" windowWidth="21600" windowHeight="11385" xr2:uid="{CAF3825B-311C-4E33-B49B-0855718D2C6F}"/>
  </bookViews>
  <sheets>
    <sheet name="Partie 1" sheetId="3" r:id="rId1"/>
    <sheet name="Partie 2" sheetId="1" r:id="rId2"/>
  </sheets>
  <definedNames>
    <definedName name="_xlnm.Print_Area" localSheetId="0">'Partie 1'!$A$22:$L$96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H3" i="1"/>
  <c r="G5" i="1"/>
  <c r="D5" i="1"/>
  <c r="B5" i="1"/>
  <c r="B6" i="1" s="1"/>
  <c r="C4" i="1"/>
  <c r="C6" i="1" s="1"/>
  <c r="D4" i="1"/>
  <c r="F4" i="1" s="1"/>
  <c r="G4" i="1" s="1"/>
  <c r="J93" i="3"/>
  <c r="J85" i="3"/>
  <c r="J70" i="3"/>
  <c r="J62" i="3"/>
  <c r="J39" i="3"/>
  <c r="J47" i="3"/>
  <c r="J31" i="3"/>
  <c r="G6" i="1" l="1"/>
  <c r="D6" i="1"/>
  <c r="F6" i="1"/>
  <c r="E4" i="1"/>
  <c r="E6" i="1" s="1"/>
  <c r="J80" i="3"/>
  <c r="J19" i="3" s="1"/>
  <c r="H6" i="1" l="1"/>
  <c r="F58" i="3"/>
  <c r="C58" i="3"/>
  <c r="F47" i="3" l="1"/>
  <c r="E29" i="3"/>
  <c r="D78" i="3" l="1"/>
  <c r="G78" i="3"/>
  <c r="H78" i="3" s="1"/>
  <c r="F83" i="3"/>
  <c r="F92" i="3" s="1"/>
  <c r="F79" i="3"/>
  <c r="F84" i="3" s="1"/>
  <c r="C78" i="3"/>
  <c r="C79" i="3" s="1"/>
  <c r="C84" i="3" s="1"/>
  <c r="F75" i="3"/>
  <c r="F76" i="3" s="1"/>
  <c r="C75" i="3"/>
  <c r="C76" i="3" s="1"/>
  <c r="H25" i="3"/>
  <c r="E67" i="3"/>
  <c r="F67" i="3"/>
  <c r="F11" i="3"/>
  <c r="H67" i="3" s="1"/>
  <c r="C67" i="3"/>
  <c r="F65" i="3"/>
  <c r="C65" i="3"/>
  <c r="F59" i="3"/>
  <c r="C59" i="3"/>
  <c r="E25" i="3"/>
  <c r="G57" i="3"/>
  <c r="F57" i="3"/>
  <c r="D57" i="3"/>
  <c r="C57" i="3"/>
  <c r="F55" i="3"/>
  <c r="C55" i="3"/>
  <c r="C47" i="3"/>
  <c r="F56" i="3" s="1"/>
  <c r="F68" i="3"/>
  <c r="C68" i="3"/>
  <c r="C69" i="3" s="1"/>
  <c r="E56" i="3"/>
  <c r="F45" i="3"/>
  <c r="F46" i="3" s="1"/>
  <c r="C39" i="3"/>
  <c r="C45" i="3" s="1"/>
  <c r="C46" i="3" s="1"/>
  <c r="F38" i="3"/>
  <c r="C38" i="3"/>
  <c r="H37" i="3"/>
  <c r="E37" i="3"/>
  <c r="G29" i="3"/>
  <c r="G25" i="3" s="1"/>
  <c r="G30" i="3" s="1"/>
  <c r="D25" i="3"/>
  <c r="C21" i="3"/>
  <c r="D20" i="3" s="1"/>
  <c r="C20" i="3"/>
  <c r="D29" i="3"/>
  <c r="D16" i="3"/>
  <c r="C16" i="3"/>
  <c r="D92" i="3" l="1"/>
  <c r="G92" i="3"/>
  <c r="C60" i="3"/>
  <c r="F29" i="3"/>
  <c r="F25" i="3" s="1"/>
  <c r="F30" i="3" s="1"/>
  <c r="D60" i="3" s="1"/>
  <c r="C83" i="3"/>
  <c r="C92" i="3" s="1"/>
  <c r="D30" i="3"/>
  <c r="G38" i="3" s="1"/>
  <c r="H38" i="3" s="1"/>
  <c r="H39" i="3" s="1"/>
  <c r="G39" i="3" s="1"/>
  <c r="F69" i="3"/>
  <c r="E57" i="3"/>
  <c r="F85" i="3"/>
  <c r="E78" i="3"/>
  <c r="D76" i="3"/>
  <c r="E76" i="3" s="1"/>
  <c r="G76" i="3"/>
  <c r="H76" i="3"/>
  <c r="H83" i="3"/>
  <c r="E58" i="3"/>
  <c r="H57" i="3"/>
  <c r="E30" i="3"/>
  <c r="D59" i="3" s="1"/>
  <c r="D38" i="3" l="1"/>
  <c r="E38" i="3" s="1"/>
  <c r="E39" i="3" s="1"/>
  <c r="E45" i="3" s="1"/>
  <c r="E46" i="3" s="1"/>
  <c r="D46" i="3" s="1"/>
  <c r="D47" i="3" s="1"/>
  <c r="E83" i="3"/>
  <c r="H45" i="3"/>
  <c r="H46" i="3" s="1"/>
  <c r="G46" i="3" s="1"/>
  <c r="G47" i="3" s="1"/>
  <c r="D55" i="3" s="1"/>
  <c r="E55" i="3" s="1"/>
  <c r="D39" i="3"/>
  <c r="F60" i="3"/>
  <c r="H58" i="3"/>
  <c r="E60" i="3"/>
  <c r="G60" i="3"/>
  <c r="G59" i="3"/>
  <c r="H59" i="3" s="1"/>
  <c r="E59" i="3"/>
  <c r="E61" i="3" l="1"/>
  <c r="G55" i="3"/>
  <c r="H55" i="3" s="1"/>
  <c r="H47" i="3"/>
  <c r="H60" i="3"/>
  <c r="E47" i="3"/>
  <c r="G56" i="3"/>
  <c r="H56" i="3" s="1"/>
  <c r="H61" i="3" l="1"/>
  <c r="D61" i="3"/>
  <c r="E92" i="3"/>
  <c r="H92" i="3"/>
  <c r="E68" i="3" l="1"/>
  <c r="E69" i="3" s="1"/>
  <c r="D69" i="3" s="1"/>
  <c r="D70" i="3" s="1"/>
  <c r="E70" i="3" s="1"/>
  <c r="G61" i="3"/>
  <c r="H68" i="3"/>
  <c r="H69" i="3" s="1"/>
  <c r="G69" i="3" s="1"/>
  <c r="G70" i="3" s="1"/>
  <c r="D75" i="3" l="1"/>
  <c r="E75" i="3" s="1"/>
  <c r="C77" i="3" s="1"/>
  <c r="C91" i="3" s="1"/>
  <c r="G75" i="3"/>
  <c r="H75" i="3" s="1"/>
  <c r="H70" i="3"/>
  <c r="H29" i="3" s="1"/>
  <c r="H30" i="3" s="1"/>
  <c r="G77" i="3" l="1"/>
  <c r="G91" i="3" s="1"/>
  <c r="D77" i="3"/>
  <c r="D91" i="3" s="1"/>
  <c r="E91" i="3" s="1"/>
  <c r="E93" i="3" s="1"/>
  <c r="F77" i="3"/>
  <c r="F91" i="3" s="1"/>
  <c r="H91" i="3" l="1"/>
  <c r="H93" i="3" s="1"/>
  <c r="E77" i="3"/>
  <c r="E79" i="3" s="1"/>
  <c r="D79" i="3" s="1"/>
  <c r="D84" i="3" s="1"/>
  <c r="E84" i="3" s="1"/>
  <c r="E85" i="3" s="1"/>
  <c r="D85" i="3" s="1"/>
  <c r="H77" i="3"/>
  <c r="H79" i="3" s="1"/>
  <c r="G79" i="3" s="1"/>
  <c r="G84" i="3" s="1"/>
  <c r="H84" i="3" s="1"/>
  <c r="H85" i="3" l="1"/>
  <c r="G85" i="3" s="1"/>
</calcChain>
</file>

<file path=xl/sharedStrings.xml><?xml version="1.0" encoding="utf-8"?>
<sst xmlns="http://schemas.openxmlformats.org/spreadsheetml/2006/main" count="149" uniqueCount="85">
  <si>
    <t>Tableau de répartition des charges indirectes</t>
  </si>
  <si>
    <t>Montage</t>
  </si>
  <si>
    <t>Finition</t>
  </si>
  <si>
    <t>Expédition</t>
  </si>
  <si>
    <t>Administration</t>
  </si>
  <si>
    <t>Nature de l'UO</t>
  </si>
  <si>
    <t>Nombre UO</t>
  </si>
  <si>
    <t>COU</t>
  </si>
  <si>
    <t>Répartition secondaire</t>
  </si>
  <si>
    <t>Prestige</t>
  </si>
  <si>
    <t>Economique</t>
  </si>
  <si>
    <t>Quantités produites et vendues pendant la période</t>
  </si>
  <si>
    <t>Production</t>
  </si>
  <si>
    <t>Vente</t>
  </si>
  <si>
    <t>Prix de Vente</t>
  </si>
  <si>
    <t>LAMBRIS</t>
  </si>
  <si>
    <t>LAINES DE ROCHES</t>
  </si>
  <si>
    <t>Q</t>
  </si>
  <si>
    <t>PU</t>
  </si>
  <si>
    <t>M</t>
  </si>
  <si>
    <t>Stock Initial</t>
  </si>
  <si>
    <t>Stocks en début de période</t>
  </si>
  <si>
    <t>Achats</t>
  </si>
  <si>
    <t>Laine de roche</t>
  </si>
  <si>
    <t>Lambris</t>
  </si>
  <si>
    <t>TOTAL</t>
  </si>
  <si>
    <t>Quantités</t>
  </si>
  <si>
    <t>150 m²</t>
  </si>
  <si>
    <t>440 m²</t>
  </si>
  <si>
    <t>ECONOMIQUE</t>
  </si>
  <si>
    <t>PRESTIGE</t>
  </si>
  <si>
    <t>Consommation de Lambris</t>
  </si>
  <si>
    <t>Façade verre blanc</t>
  </si>
  <si>
    <t>Façade verre fumé</t>
  </si>
  <si>
    <t>Consommation de Laine de roche</t>
  </si>
  <si>
    <t>2250 m²</t>
  </si>
  <si>
    <t>4560 m²</t>
  </si>
  <si>
    <t>Prix Unitaire</t>
  </si>
  <si>
    <t>Façade en verre</t>
  </si>
  <si>
    <t>MOD</t>
  </si>
  <si>
    <t>Centre Montage</t>
  </si>
  <si>
    <t>Centre Finition</t>
  </si>
  <si>
    <t>Coût de production des produits vendus</t>
  </si>
  <si>
    <t>Approvisionnement</t>
  </si>
  <si>
    <t>Achats de la période</t>
  </si>
  <si>
    <t>Prix unitaire</t>
  </si>
  <si>
    <t>Surface utile</t>
  </si>
  <si>
    <t>MOD pour un sauna</t>
  </si>
  <si>
    <t>Charges de personnel totales</t>
  </si>
  <si>
    <t>LAINE DE ROCHE</t>
  </si>
  <si>
    <t>Charges indirectes d'approvisionnement</t>
  </si>
  <si>
    <t>COUT D'ACHAT</t>
  </si>
  <si>
    <t>STOCK DE MP</t>
  </si>
  <si>
    <t xml:space="preserve">Consommation </t>
  </si>
  <si>
    <t>Nombre de m² de Laine de roche et de lambris achetés</t>
  </si>
  <si>
    <t>Nombre d'heures de MOD de l'atelier</t>
  </si>
  <si>
    <t>Nombre de saunas vendus</t>
  </si>
  <si>
    <t>H. Machines</t>
  </si>
  <si>
    <t>42mn</t>
  </si>
  <si>
    <t>1h25mn</t>
  </si>
  <si>
    <t>STOCK DE SAUNA</t>
  </si>
  <si>
    <t>Valeur du stock</t>
  </si>
  <si>
    <t>Coût de production des saunas vendus</t>
  </si>
  <si>
    <t>1000€ du Coût de production des saunas vendus (arrondir à l'entier supérieur)</t>
  </si>
  <si>
    <t>Commission</t>
  </si>
  <si>
    <t>COUT DE REVIENT</t>
  </si>
  <si>
    <t>CA</t>
  </si>
  <si>
    <t>RESULTAT</t>
  </si>
  <si>
    <t xml:space="preserve">Nouveau choix de répartition </t>
  </si>
  <si>
    <t>IMPACT SUR LA RENTABILITE</t>
  </si>
  <si>
    <t>Répartir les charges indirectes d'administration en fonction des quantités vendus. Impact sur la rentabilité du Prestige ?</t>
  </si>
  <si>
    <t>Nombres d'heures machines utilisés</t>
  </si>
  <si>
    <t>CHARGES DIRECTES</t>
  </si>
  <si>
    <t>CHARGES INDIRECTES</t>
  </si>
  <si>
    <t>COUT DE PRODUCTION DES SAUNAS FABRIQUES</t>
  </si>
  <si>
    <t>Choix initial</t>
  </si>
  <si>
    <t>(42/60*500)+(85/60*300)</t>
  </si>
  <si>
    <t>Non car les charges demeurent identiques</t>
  </si>
  <si>
    <t>21580/800=29,48€</t>
  </si>
  <si>
    <t>E</t>
  </si>
  <si>
    <t>T</t>
  </si>
  <si>
    <t>A</t>
  </si>
  <si>
    <t>AT,  A</t>
  </si>
  <si>
    <t>AT,  B</t>
  </si>
  <si>
    <t>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</si>
</sst>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C]_-;\-* #,##0\ [$€-40C]_-;_-* &quot;-&quot;??\ [$€-40C]_-;_-@_-"/>
    <numFmt numFmtId="166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0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center" wrapText="1"/>
    </xf>
    <xf numFmtId="1" fontId="0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1" xfId="0" applyFont="1" applyFill="1" applyBorder="1"/>
    <xf numFmtId="44" fontId="2" fillId="0" borderId="1" xfId="0" applyNumberFormat="1" applyFont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2" borderId="1" xfId="0" applyFill="1" applyBorder="1"/>
    <xf numFmtId="44" fontId="0" fillId="2" borderId="1" xfId="0" applyNumberFormat="1" applyFill="1" applyBorder="1"/>
    <xf numFmtId="2" fontId="0" fillId="2" borderId="1" xfId="0" applyNumberFormat="1" applyFill="1" applyBorder="1" applyAlignment="1">
      <alignment horizontal="center" wrapText="1"/>
    </xf>
    <xf numFmtId="2" fontId="0" fillId="0" borderId="7" xfId="1" applyNumberFormat="1" applyFont="1" applyFill="1" applyBorder="1"/>
    <xf numFmtId="2" fontId="0" fillId="0" borderId="0" xfId="0" applyNumberFormat="1"/>
    <xf numFmtId="44" fontId="0" fillId="0" borderId="0" xfId="0" quotePrefix="1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10</xdr:row>
      <xdr:rowOff>123825</xdr:rowOff>
    </xdr:from>
    <xdr:to>
      <xdr:col>8</xdr:col>
      <xdr:colOff>647700</xdr:colOff>
      <xdr:row>19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75D769C-553D-4577-863D-9CD247B25B03}"/>
            </a:ext>
          </a:extLst>
        </xdr:cNvPr>
        <xdr:cNvSpPr txBox="1"/>
      </xdr:nvSpPr>
      <xdr:spPr>
        <a:xfrm>
          <a:off x="1257300" y="2028825"/>
          <a:ext cx="575310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 =</a:t>
          </a:r>
          <a:r>
            <a:rPr lang="fr-FR" sz="1100" baseline="0"/>
            <a:t>   16000 + 0,10T</a:t>
          </a:r>
        </a:p>
        <a:p>
          <a:r>
            <a:rPr lang="fr-FR" sz="1100" baseline="0"/>
            <a:t>T=    54900 + 0,20E</a:t>
          </a:r>
        </a:p>
        <a:p>
          <a:endParaRPr lang="fr-FR" sz="1100" baseline="0"/>
        </a:p>
        <a:p>
          <a:r>
            <a:rPr lang="fr-FR" sz="1100" baseline="0"/>
            <a:t>E = 16000 + 0,10(54900 + 0,20E)</a:t>
          </a:r>
        </a:p>
        <a:p>
          <a:r>
            <a:rPr lang="fr-FR" sz="1100" baseline="0"/>
            <a:t>E  = 21490 + 0,02E</a:t>
          </a:r>
        </a:p>
        <a:p>
          <a:r>
            <a:rPr lang="fr-FR" sz="1100" baseline="0"/>
            <a:t>0,98E  = 21490</a:t>
          </a:r>
        </a:p>
        <a:p>
          <a:r>
            <a:rPr lang="fr-FR" sz="1100" baseline="0"/>
            <a:t>E = 21928,57</a:t>
          </a:r>
        </a:p>
        <a:p>
          <a:endParaRPr lang="fr-FR" sz="1100" baseline="0"/>
        </a:p>
        <a:p>
          <a:r>
            <a:rPr lang="fr-FR" sz="1100" baseline="0"/>
            <a:t>T  =  59285,71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B06F-59C5-4FFA-ABFB-CF5794F8C81E}">
  <sheetPr>
    <pageSetUpPr fitToPage="1"/>
  </sheetPr>
  <dimension ref="A2:K95"/>
  <sheetViews>
    <sheetView tabSelected="1" topLeftCell="A82" workbookViewId="0">
      <selection activeCell="N92" sqref="N92"/>
    </sheetView>
  </sheetViews>
  <sheetFormatPr baseColWidth="10" defaultRowHeight="15" x14ac:dyDescent="0.25"/>
  <cols>
    <col min="2" max="2" width="36.140625" customWidth="1"/>
    <col min="3" max="3" width="13.85546875" bestFit="1" customWidth="1"/>
    <col min="4" max="4" width="18.85546875" bestFit="1" customWidth="1"/>
    <col min="5" max="6" width="17.85546875" bestFit="1" customWidth="1"/>
    <col min="7" max="7" width="12.85546875" bestFit="1" customWidth="1"/>
    <col min="8" max="8" width="16.140625" bestFit="1" customWidth="1"/>
    <col min="9" max="9" width="8" customWidth="1"/>
    <col min="10" max="10" width="11.85546875" bestFit="1" customWidth="1"/>
  </cols>
  <sheetData>
    <row r="2" spans="2:6" x14ac:dyDescent="0.25">
      <c r="B2" t="s">
        <v>46</v>
      </c>
      <c r="C2">
        <v>6</v>
      </c>
      <c r="D2">
        <v>14</v>
      </c>
    </row>
    <row r="3" spans="2:6" x14ac:dyDescent="0.25">
      <c r="B3" s="34" t="s">
        <v>11</v>
      </c>
      <c r="C3" s="35"/>
      <c r="D3" s="35"/>
      <c r="E3" s="36"/>
    </row>
    <row r="4" spans="2:6" x14ac:dyDescent="0.25">
      <c r="B4" s="1"/>
      <c r="C4" s="2" t="s">
        <v>12</v>
      </c>
      <c r="D4" s="2" t="s">
        <v>13</v>
      </c>
      <c r="E4" s="2" t="s">
        <v>14</v>
      </c>
    </row>
    <row r="5" spans="2:6" x14ac:dyDescent="0.25">
      <c r="B5" s="1" t="s">
        <v>10</v>
      </c>
      <c r="C5" s="2">
        <v>500</v>
      </c>
      <c r="D5" s="2">
        <v>450</v>
      </c>
      <c r="E5" s="14">
        <v>930</v>
      </c>
    </row>
    <row r="6" spans="2:6" x14ac:dyDescent="0.25">
      <c r="B6" s="1" t="s">
        <v>9</v>
      </c>
      <c r="C6" s="2">
        <v>300</v>
      </c>
      <c r="D6" s="2">
        <v>350</v>
      </c>
      <c r="E6" s="14">
        <v>1430</v>
      </c>
    </row>
    <row r="8" spans="2:6" x14ac:dyDescent="0.25">
      <c r="B8" s="33" t="s">
        <v>21</v>
      </c>
      <c r="C8" s="33"/>
      <c r="D8" s="33"/>
      <c r="E8" s="33"/>
      <c r="F8" s="33"/>
    </row>
    <row r="9" spans="2:6" x14ac:dyDescent="0.25">
      <c r="B9" s="1"/>
      <c r="C9" s="2" t="s">
        <v>23</v>
      </c>
      <c r="D9" s="2" t="s">
        <v>24</v>
      </c>
      <c r="E9" s="2" t="s">
        <v>10</v>
      </c>
      <c r="F9" s="2" t="s">
        <v>9</v>
      </c>
    </row>
    <row r="10" spans="2:6" x14ac:dyDescent="0.25">
      <c r="B10" s="1" t="s">
        <v>26</v>
      </c>
      <c r="C10" s="2" t="s">
        <v>27</v>
      </c>
      <c r="D10" s="2" t="s">
        <v>28</v>
      </c>
      <c r="E10" s="2">
        <v>60</v>
      </c>
      <c r="F10" s="2">
        <v>80</v>
      </c>
    </row>
    <row r="11" spans="2:6" x14ac:dyDescent="0.25">
      <c r="B11" s="1" t="s">
        <v>61</v>
      </c>
      <c r="C11" s="19">
        <v>990</v>
      </c>
      <c r="D11" s="19">
        <v>6480</v>
      </c>
      <c r="E11" s="19">
        <v>46200</v>
      </c>
      <c r="F11" s="19">
        <f>80*1250</f>
        <v>100000</v>
      </c>
    </row>
    <row r="13" spans="2:6" x14ac:dyDescent="0.25">
      <c r="B13" s="33" t="s">
        <v>44</v>
      </c>
      <c r="C13" s="33"/>
      <c r="D13" s="33"/>
      <c r="E13" s="33"/>
      <c r="F13" s="33"/>
    </row>
    <row r="14" spans="2:6" x14ac:dyDescent="0.25">
      <c r="B14" s="1"/>
      <c r="C14" s="1" t="s">
        <v>23</v>
      </c>
      <c r="D14" s="1" t="s">
        <v>24</v>
      </c>
      <c r="E14" s="1" t="s">
        <v>32</v>
      </c>
      <c r="F14" s="1" t="s">
        <v>33</v>
      </c>
    </row>
    <row r="15" spans="2:6" x14ac:dyDescent="0.25">
      <c r="B15" s="1" t="s">
        <v>26</v>
      </c>
      <c r="C15" s="2" t="s">
        <v>35</v>
      </c>
      <c r="D15" s="2" t="s">
        <v>36</v>
      </c>
      <c r="E15" s="2" t="s">
        <v>37</v>
      </c>
      <c r="F15" s="2" t="s">
        <v>37</v>
      </c>
    </row>
    <row r="16" spans="2:6" x14ac:dyDescent="0.25">
      <c r="B16" s="1" t="s">
        <v>45</v>
      </c>
      <c r="C16" s="19">
        <f>6750/2250</f>
        <v>3</v>
      </c>
      <c r="D16" s="19">
        <f>68860/4560</f>
        <v>15.100877192982455</v>
      </c>
      <c r="E16" s="19">
        <v>260</v>
      </c>
      <c r="F16" s="19">
        <v>305</v>
      </c>
    </row>
    <row r="18" spans="2:11" x14ac:dyDescent="0.25">
      <c r="B18" s="34" t="s">
        <v>47</v>
      </c>
      <c r="C18" s="35"/>
      <c r="D18" s="36"/>
    </row>
    <row r="19" spans="2:11" x14ac:dyDescent="0.25">
      <c r="B19" s="1"/>
      <c r="C19" s="2" t="s">
        <v>12</v>
      </c>
      <c r="D19" s="2" t="s">
        <v>48</v>
      </c>
      <c r="E19" t="s">
        <v>57</v>
      </c>
      <c r="J19" s="31">
        <f>J31+J39+J47+J62+J70+J80+J85+J93+J95</f>
        <v>22</v>
      </c>
    </row>
    <row r="20" spans="2:11" x14ac:dyDescent="0.25">
      <c r="B20" s="1" t="s">
        <v>10</v>
      </c>
      <c r="C20" s="2">
        <f>480/60</f>
        <v>8</v>
      </c>
      <c r="D20" s="40">
        <f>31*8*C5+(C21*31*C6)</f>
        <v>244900</v>
      </c>
      <c r="E20">
        <v>42</v>
      </c>
      <c r="F20" t="s">
        <v>58</v>
      </c>
    </row>
    <row r="21" spans="2:11" x14ac:dyDescent="0.25">
      <c r="B21" s="1" t="s">
        <v>9</v>
      </c>
      <c r="C21" s="2">
        <f>520/40</f>
        <v>13</v>
      </c>
      <c r="D21" s="41"/>
      <c r="E21">
        <v>85</v>
      </c>
      <c r="F21" t="s">
        <v>59</v>
      </c>
    </row>
    <row r="23" spans="2:11" x14ac:dyDescent="0.25">
      <c r="B23" s="42" t="s">
        <v>0</v>
      </c>
      <c r="C23" s="42"/>
      <c r="D23" s="42"/>
      <c r="E23" s="42"/>
      <c r="F23" s="42"/>
      <c r="G23" s="42"/>
      <c r="H23" s="42"/>
    </row>
    <row r="24" spans="2:11" x14ac:dyDescent="0.25">
      <c r="B24" s="1"/>
      <c r="C24" s="2"/>
      <c r="D24" s="2" t="s">
        <v>43</v>
      </c>
      <c r="E24" s="2" t="s">
        <v>1</v>
      </c>
      <c r="F24" s="2" t="s">
        <v>2</v>
      </c>
      <c r="G24" s="3" t="s">
        <v>3</v>
      </c>
      <c r="H24" s="3" t="s">
        <v>4</v>
      </c>
      <c r="I24" s="23"/>
    </row>
    <row r="25" spans="2:11" x14ac:dyDescent="0.25">
      <c r="B25" s="1" t="s">
        <v>8</v>
      </c>
      <c r="C25" s="4"/>
      <c r="D25" s="4">
        <f>6810*2</f>
        <v>13620</v>
      </c>
      <c r="E25" s="4">
        <f>E29*12</f>
        <v>9300</v>
      </c>
      <c r="F25" s="4">
        <f>18*F29</f>
        <v>142200</v>
      </c>
      <c r="G25" s="5">
        <f>G29*62</f>
        <v>49600</v>
      </c>
      <c r="H25" s="5">
        <f>786*30</f>
        <v>23580</v>
      </c>
      <c r="I25" s="24"/>
    </row>
    <row r="26" spans="2:11" x14ac:dyDescent="0.25">
      <c r="B26" s="1"/>
      <c r="C26" s="4"/>
      <c r="D26" s="6"/>
      <c r="E26" s="6"/>
      <c r="F26" s="6"/>
      <c r="G26" s="7"/>
      <c r="H26" s="5"/>
      <c r="I26" s="24"/>
    </row>
    <row r="27" spans="2:11" x14ac:dyDescent="0.25">
      <c r="B27" s="1"/>
      <c r="C27" s="4"/>
      <c r="D27" s="6"/>
      <c r="E27" s="6"/>
      <c r="F27" s="6"/>
      <c r="G27" s="7"/>
      <c r="H27" s="5"/>
      <c r="I27" s="24"/>
    </row>
    <row r="28" spans="2:11" ht="90" x14ac:dyDescent="0.25">
      <c r="B28" s="8" t="s">
        <v>5</v>
      </c>
      <c r="C28" s="9"/>
      <c r="D28" s="9" t="s">
        <v>54</v>
      </c>
      <c r="E28" s="9" t="s">
        <v>71</v>
      </c>
      <c r="F28" s="10" t="s">
        <v>55</v>
      </c>
      <c r="G28" s="10" t="s">
        <v>56</v>
      </c>
      <c r="H28" s="11" t="s">
        <v>63</v>
      </c>
      <c r="I28">
        <v>1</v>
      </c>
      <c r="J28">
        <v>775</v>
      </c>
      <c r="K28" t="s">
        <v>76</v>
      </c>
    </row>
    <row r="29" spans="2:11" x14ac:dyDescent="0.25">
      <c r="B29" s="8" t="s">
        <v>6</v>
      </c>
      <c r="C29" s="9"/>
      <c r="D29" s="9">
        <f>2250+4560</f>
        <v>6810</v>
      </c>
      <c r="E29" s="29">
        <f>C5*E20/60+(C6*E21/60)</f>
        <v>775</v>
      </c>
      <c r="F29" s="10">
        <f>C20*C5+C21*C6</f>
        <v>7900</v>
      </c>
      <c r="G29" s="10">
        <f>D5+D6</f>
        <v>800</v>
      </c>
      <c r="H29" s="1">
        <f>ROUNDUP((H70+E70)/1000,0)</f>
        <v>780</v>
      </c>
      <c r="I29">
        <v>2</v>
      </c>
    </row>
    <row r="30" spans="2:11" x14ac:dyDescent="0.25">
      <c r="B30" s="1" t="s">
        <v>7</v>
      </c>
      <c r="C30" s="12"/>
      <c r="D30" s="12">
        <f>D25/D29</f>
        <v>2</v>
      </c>
      <c r="E30" s="12">
        <f>E25/E29</f>
        <v>12</v>
      </c>
      <c r="F30" s="12">
        <f>F25/F29</f>
        <v>18</v>
      </c>
      <c r="G30" s="12">
        <f>G25/G29</f>
        <v>62</v>
      </c>
      <c r="H30" s="12">
        <f>H25/H29</f>
        <v>30.23076923076923</v>
      </c>
      <c r="I30">
        <v>1</v>
      </c>
    </row>
    <row r="31" spans="2:11" x14ac:dyDescent="0.25">
      <c r="J31">
        <f>SUM(I28:I30)</f>
        <v>4</v>
      </c>
    </row>
    <row r="35" spans="2:10" x14ac:dyDescent="0.25">
      <c r="B35" s="1"/>
      <c r="C35" s="33" t="s">
        <v>49</v>
      </c>
      <c r="D35" s="33"/>
      <c r="E35" s="33"/>
      <c r="F35" s="33" t="s">
        <v>15</v>
      </c>
      <c r="G35" s="33"/>
      <c r="H35" s="33"/>
    </row>
    <row r="36" spans="2:10" x14ac:dyDescent="0.25">
      <c r="B36" s="1"/>
      <c r="C36" s="2" t="s">
        <v>17</v>
      </c>
      <c r="D36" s="2" t="s">
        <v>18</v>
      </c>
      <c r="E36" s="2" t="s">
        <v>19</v>
      </c>
      <c r="F36" s="2" t="s">
        <v>17</v>
      </c>
      <c r="G36" s="2" t="s">
        <v>18</v>
      </c>
      <c r="H36" s="2" t="s">
        <v>19</v>
      </c>
    </row>
    <row r="37" spans="2:10" x14ac:dyDescent="0.25">
      <c r="B37" s="1" t="s">
        <v>22</v>
      </c>
      <c r="C37" s="1">
        <v>2250</v>
      </c>
      <c r="D37" s="16">
        <v>3</v>
      </c>
      <c r="E37" s="16">
        <f>C37*D37</f>
        <v>6750</v>
      </c>
      <c r="F37" s="1">
        <v>4560</v>
      </c>
      <c r="G37" s="16">
        <v>15</v>
      </c>
      <c r="H37" s="16">
        <f>F37*G37</f>
        <v>68400</v>
      </c>
      <c r="I37" s="30">
        <v>0.5</v>
      </c>
    </row>
    <row r="38" spans="2:10" x14ac:dyDescent="0.25">
      <c r="B38" s="1" t="s">
        <v>50</v>
      </c>
      <c r="C38" s="1">
        <f>C37</f>
        <v>2250</v>
      </c>
      <c r="D38" s="16">
        <f>D30</f>
        <v>2</v>
      </c>
      <c r="E38" s="16">
        <f t="shared" ref="E38" si="0">C38*D38</f>
        <v>4500</v>
      </c>
      <c r="F38" s="1">
        <f>F37</f>
        <v>4560</v>
      </c>
      <c r="G38" s="16">
        <f>D30</f>
        <v>2</v>
      </c>
      <c r="H38" s="16">
        <f t="shared" ref="H38" si="1">F38*G38</f>
        <v>9120</v>
      </c>
      <c r="I38" s="31">
        <v>0.5</v>
      </c>
    </row>
    <row r="39" spans="2:10" x14ac:dyDescent="0.25">
      <c r="B39" s="1" t="s">
        <v>51</v>
      </c>
      <c r="C39" s="1">
        <f>2250</f>
        <v>2250</v>
      </c>
      <c r="D39" s="20">
        <f>E39/C39</f>
        <v>5</v>
      </c>
      <c r="E39" s="20">
        <f>E37+E38</f>
        <v>11250</v>
      </c>
      <c r="F39" s="1">
        <v>4560</v>
      </c>
      <c r="G39" s="20">
        <f>H39/F39</f>
        <v>17</v>
      </c>
      <c r="H39" s="20">
        <f>H37+H38</f>
        <v>77520</v>
      </c>
      <c r="J39" s="31">
        <f>SUM(I37:I38)</f>
        <v>1</v>
      </c>
    </row>
    <row r="42" spans="2:10" x14ac:dyDescent="0.25">
      <c r="B42" s="15" t="s">
        <v>52</v>
      </c>
      <c r="C42" s="33" t="s">
        <v>16</v>
      </c>
      <c r="D42" s="33"/>
      <c r="E42" s="33"/>
      <c r="F42" s="33" t="s">
        <v>15</v>
      </c>
      <c r="G42" s="33"/>
      <c r="H42" s="33"/>
    </row>
    <row r="43" spans="2:10" x14ac:dyDescent="0.25">
      <c r="B43" s="1"/>
      <c r="C43" s="2" t="s">
        <v>17</v>
      </c>
      <c r="D43" s="2" t="s">
        <v>18</v>
      </c>
      <c r="E43" s="2" t="s">
        <v>19</v>
      </c>
      <c r="F43" s="2" t="s">
        <v>17</v>
      </c>
      <c r="G43" s="2" t="s">
        <v>18</v>
      </c>
      <c r="H43" s="2" t="s">
        <v>19</v>
      </c>
    </row>
    <row r="44" spans="2:10" x14ac:dyDescent="0.25">
      <c r="B44" s="1" t="s">
        <v>20</v>
      </c>
      <c r="C44" s="1">
        <v>150</v>
      </c>
      <c r="D44" s="16"/>
      <c r="E44" s="16">
        <v>989.99999999999761</v>
      </c>
      <c r="F44" s="1">
        <v>4400</v>
      </c>
      <c r="G44" s="16"/>
      <c r="H44" s="16">
        <v>64800</v>
      </c>
    </row>
    <row r="45" spans="2:10" x14ac:dyDescent="0.25">
      <c r="B45" s="1" t="s">
        <v>22</v>
      </c>
      <c r="C45" s="1">
        <f>+C39</f>
        <v>2250</v>
      </c>
      <c r="D45" s="16"/>
      <c r="E45" s="16">
        <f>+E39</f>
        <v>11250</v>
      </c>
      <c r="F45" s="1">
        <f>+F39</f>
        <v>4560</v>
      </c>
      <c r="G45" s="16"/>
      <c r="H45" s="16">
        <f>+H39</f>
        <v>77520</v>
      </c>
    </row>
    <row r="46" spans="2:10" x14ac:dyDescent="0.25">
      <c r="B46" s="17" t="s">
        <v>25</v>
      </c>
      <c r="C46" s="17">
        <f>C45+C44</f>
        <v>2400</v>
      </c>
      <c r="D46" s="18">
        <f>E46/C46</f>
        <v>5.0999999999999996</v>
      </c>
      <c r="E46" s="18">
        <f>E44+E45</f>
        <v>12239.999999999998</v>
      </c>
      <c r="F46" s="17">
        <f>F44+F45</f>
        <v>8960</v>
      </c>
      <c r="G46" s="18">
        <f>H46/F46</f>
        <v>15.883928571428571</v>
      </c>
      <c r="H46" s="18">
        <f>H44+H45</f>
        <v>142320</v>
      </c>
      <c r="I46">
        <v>1</v>
      </c>
    </row>
    <row r="47" spans="2:10" x14ac:dyDescent="0.25">
      <c r="B47" s="27" t="s">
        <v>53</v>
      </c>
      <c r="C47" s="27">
        <f>C6*7</f>
        <v>2100</v>
      </c>
      <c r="D47" s="28">
        <f>D46</f>
        <v>5.0999999999999996</v>
      </c>
      <c r="E47" s="28">
        <f>C47*D47</f>
        <v>10710</v>
      </c>
      <c r="F47" s="27">
        <f>C5*C2*1.1+(C6*1.1*D2)</f>
        <v>7920</v>
      </c>
      <c r="G47" s="28">
        <f>G46</f>
        <v>15.883928571428571</v>
      </c>
      <c r="H47" s="28">
        <f>F47*G47</f>
        <v>125800.71428571429</v>
      </c>
      <c r="I47">
        <v>1</v>
      </c>
      <c r="J47">
        <f>SUM(I46:I47)</f>
        <v>2</v>
      </c>
    </row>
    <row r="53" spans="1:10" x14ac:dyDescent="0.25">
      <c r="A53" s="33"/>
      <c r="B53" s="33"/>
      <c r="C53" s="33" t="s">
        <v>29</v>
      </c>
      <c r="D53" s="33"/>
      <c r="E53" s="33"/>
      <c r="F53" s="33" t="s">
        <v>30</v>
      </c>
      <c r="G53" s="33"/>
      <c r="H53" s="33"/>
    </row>
    <row r="54" spans="1:10" x14ac:dyDescent="0.25">
      <c r="A54" s="33"/>
      <c r="B54" s="33"/>
      <c r="C54" s="2" t="s">
        <v>17</v>
      </c>
      <c r="D54" s="2" t="s">
        <v>18</v>
      </c>
      <c r="E54" s="2" t="s">
        <v>19</v>
      </c>
      <c r="F54" s="2" t="s">
        <v>17</v>
      </c>
      <c r="G54" s="2" t="s">
        <v>18</v>
      </c>
      <c r="H54" s="2" t="s">
        <v>19</v>
      </c>
    </row>
    <row r="55" spans="1:10" ht="30" customHeight="1" x14ac:dyDescent="0.25">
      <c r="A55" s="38" t="s">
        <v>72</v>
      </c>
      <c r="B55" s="1" t="s">
        <v>31</v>
      </c>
      <c r="C55" s="1">
        <f>C5*1.1*C2</f>
        <v>3300</v>
      </c>
      <c r="D55" s="16">
        <f>G47</f>
        <v>15.883928571428571</v>
      </c>
      <c r="E55" s="16">
        <f>C55*D55</f>
        <v>52416.964285714283</v>
      </c>
      <c r="F55" s="1">
        <f>C6*D2*1.1</f>
        <v>4620</v>
      </c>
      <c r="G55" s="16">
        <f>G47</f>
        <v>15.883928571428571</v>
      </c>
      <c r="H55" s="16">
        <f>F55*G55</f>
        <v>73383.75</v>
      </c>
      <c r="I55">
        <v>1</v>
      </c>
    </row>
    <row r="56" spans="1:10" x14ac:dyDescent="0.25">
      <c r="A56" s="38"/>
      <c r="B56" s="1" t="s">
        <v>34</v>
      </c>
      <c r="C56" s="1"/>
      <c r="D56" s="16">
        <v>0</v>
      </c>
      <c r="E56" s="16">
        <f t="shared" ref="E56" si="2">C56*D56</f>
        <v>0</v>
      </c>
      <c r="F56" s="1">
        <f>C47</f>
        <v>2100</v>
      </c>
      <c r="G56" s="16">
        <f>D47</f>
        <v>5.0999999999999996</v>
      </c>
      <c r="H56" s="16">
        <f t="shared" ref="H56" si="3">F56*G56</f>
        <v>10710</v>
      </c>
      <c r="I56">
        <v>0.5</v>
      </c>
    </row>
    <row r="57" spans="1:10" x14ac:dyDescent="0.25">
      <c r="A57" s="38"/>
      <c r="B57" s="1" t="s">
        <v>38</v>
      </c>
      <c r="C57" s="1">
        <f>C5</f>
        <v>500</v>
      </c>
      <c r="D57" s="20">
        <f>E16</f>
        <v>260</v>
      </c>
      <c r="E57" s="20">
        <f>C57*D57</f>
        <v>130000</v>
      </c>
      <c r="F57" s="1">
        <f>C6</f>
        <v>300</v>
      </c>
      <c r="G57" s="20">
        <f>F16</f>
        <v>305</v>
      </c>
      <c r="H57" s="20">
        <f>F57*G57</f>
        <v>91500</v>
      </c>
      <c r="I57">
        <v>0.5</v>
      </c>
    </row>
    <row r="58" spans="1:10" x14ac:dyDescent="0.25">
      <c r="A58" s="38"/>
      <c r="B58" s="1" t="s">
        <v>39</v>
      </c>
      <c r="C58" s="1">
        <f>8*500</f>
        <v>4000</v>
      </c>
      <c r="D58" s="16">
        <v>31</v>
      </c>
      <c r="E58" s="16">
        <f>C58*D58</f>
        <v>124000</v>
      </c>
      <c r="F58" s="1">
        <f>13*300</f>
        <v>3900</v>
      </c>
      <c r="G58" s="16">
        <v>31</v>
      </c>
      <c r="H58" s="16">
        <f>F58*G58</f>
        <v>120900</v>
      </c>
      <c r="I58">
        <v>1</v>
      </c>
    </row>
    <row r="59" spans="1:10" x14ac:dyDescent="0.25">
      <c r="A59" s="39" t="s">
        <v>73</v>
      </c>
      <c r="B59" s="1" t="s">
        <v>40</v>
      </c>
      <c r="C59" s="1">
        <f>C5*E20/60</f>
        <v>350</v>
      </c>
      <c r="D59" s="16">
        <f>E30</f>
        <v>12</v>
      </c>
      <c r="E59" s="16">
        <f>D59*C59</f>
        <v>4200</v>
      </c>
      <c r="F59" s="1">
        <f>C6*E21/60</f>
        <v>425</v>
      </c>
      <c r="G59" s="16">
        <f>D59</f>
        <v>12</v>
      </c>
      <c r="H59" s="16">
        <f>G59*F59</f>
        <v>5100</v>
      </c>
      <c r="I59">
        <v>1</v>
      </c>
    </row>
    <row r="60" spans="1:10" x14ac:dyDescent="0.25">
      <c r="A60" s="39"/>
      <c r="B60" s="1" t="s">
        <v>41</v>
      </c>
      <c r="C60" s="1">
        <f>C58</f>
        <v>4000</v>
      </c>
      <c r="D60" s="16">
        <f>F30</f>
        <v>18</v>
      </c>
      <c r="E60" s="16">
        <f>C60*D60</f>
        <v>72000</v>
      </c>
      <c r="F60" s="1">
        <f>F58</f>
        <v>3900</v>
      </c>
      <c r="G60" s="16">
        <f>D60</f>
        <v>18</v>
      </c>
      <c r="H60" s="16">
        <f>F60*G60</f>
        <v>70200</v>
      </c>
      <c r="I60">
        <v>1</v>
      </c>
    </row>
    <row r="61" spans="1:10" x14ac:dyDescent="0.25">
      <c r="A61" s="37" t="s">
        <v>74</v>
      </c>
      <c r="B61" s="37"/>
      <c r="C61" s="17">
        <v>500</v>
      </c>
      <c r="D61" s="22">
        <f>E61/C61</f>
        <v>765.23392857142869</v>
      </c>
      <c r="E61" s="22">
        <f>SUM(E55:E60)</f>
        <v>382616.96428571432</v>
      </c>
      <c r="F61" s="17">
        <v>300</v>
      </c>
      <c r="G61" s="22">
        <f>H61/F61</f>
        <v>1239.3125</v>
      </c>
      <c r="H61" s="22">
        <f>SUM(H55:H60)</f>
        <v>371793.75</v>
      </c>
    </row>
    <row r="62" spans="1:10" x14ac:dyDescent="0.25">
      <c r="J62">
        <f>+SUM(I55:I60)</f>
        <v>5</v>
      </c>
    </row>
    <row r="65" spans="2:10" x14ac:dyDescent="0.25">
      <c r="B65" s="15" t="s">
        <v>60</v>
      </c>
      <c r="C65" s="34" t="str">
        <f>C53</f>
        <v>ECONOMIQUE</v>
      </c>
      <c r="D65" s="35"/>
      <c r="E65" s="36"/>
      <c r="F65" s="34" t="str">
        <f>F53</f>
        <v>PRESTIGE</v>
      </c>
      <c r="G65" s="35"/>
      <c r="H65" s="36"/>
    </row>
    <row r="66" spans="2:10" x14ac:dyDescent="0.25">
      <c r="B66" s="1"/>
      <c r="C66" s="2" t="s">
        <v>17</v>
      </c>
      <c r="D66" s="2" t="s">
        <v>18</v>
      </c>
      <c r="E66" s="2" t="s">
        <v>19</v>
      </c>
      <c r="F66" s="2" t="s">
        <v>17</v>
      </c>
      <c r="G66" s="2" t="s">
        <v>18</v>
      </c>
      <c r="H66" s="2" t="s">
        <v>19</v>
      </c>
    </row>
    <row r="67" spans="2:10" x14ac:dyDescent="0.25">
      <c r="B67" s="1" t="s">
        <v>20</v>
      </c>
      <c r="C67" s="1">
        <f>E10</f>
        <v>60</v>
      </c>
      <c r="D67" s="16"/>
      <c r="E67" s="16">
        <f>60*770</f>
        <v>46200</v>
      </c>
      <c r="F67" s="1">
        <f>F10</f>
        <v>80</v>
      </c>
      <c r="G67" s="16"/>
      <c r="H67" s="16">
        <f>F11</f>
        <v>100000</v>
      </c>
    </row>
    <row r="68" spans="2:10" x14ac:dyDescent="0.25">
      <c r="B68" s="1" t="s">
        <v>12</v>
      </c>
      <c r="C68" s="1">
        <f>C61</f>
        <v>500</v>
      </c>
      <c r="D68" s="16"/>
      <c r="E68" s="16">
        <f>E61</f>
        <v>382616.96428571432</v>
      </c>
      <c r="F68" s="1">
        <f>F61</f>
        <v>300</v>
      </c>
      <c r="G68" s="16"/>
      <c r="H68" s="16">
        <f>H61</f>
        <v>371793.75</v>
      </c>
    </row>
    <row r="69" spans="2:10" x14ac:dyDescent="0.25">
      <c r="B69" s="17" t="s">
        <v>25</v>
      </c>
      <c r="C69" s="17">
        <f>C68+C67</f>
        <v>560</v>
      </c>
      <c r="D69" s="18">
        <f>E69/C69</f>
        <v>765.74457908163276</v>
      </c>
      <c r="E69" s="18">
        <f>E67+E68</f>
        <v>428816.96428571432</v>
      </c>
      <c r="F69" s="17">
        <f>F67+F68</f>
        <v>380</v>
      </c>
      <c r="G69" s="18">
        <f>H69/F69</f>
        <v>1241.5625</v>
      </c>
      <c r="H69" s="18">
        <f>H67+H68</f>
        <v>471793.75</v>
      </c>
    </row>
    <row r="70" spans="2:10" x14ac:dyDescent="0.25">
      <c r="B70" s="13" t="s">
        <v>62</v>
      </c>
      <c r="C70" s="1">
        <v>450</v>
      </c>
      <c r="D70" s="25">
        <f>D69</f>
        <v>765.74457908163276</v>
      </c>
      <c r="E70" s="25">
        <f>C70*D70</f>
        <v>344585.06058673473</v>
      </c>
      <c r="F70" s="1">
        <v>350</v>
      </c>
      <c r="G70" s="25">
        <f>G69</f>
        <v>1241.5625</v>
      </c>
      <c r="H70" s="25">
        <f>F70*G70</f>
        <v>434546.875</v>
      </c>
      <c r="I70">
        <v>1</v>
      </c>
      <c r="J70">
        <f>I70</f>
        <v>1</v>
      </c>
    </row>
    <row r="73" spans="2:10" x14ac:dyDescent="0.25">
      <c r="B73" s="1"/>
      <c r="C73" s="33" t="s">
        <v>29</v>
      </c>
      <c r="D73" s="33"/>
      <c r="E73" s="33"/>
      <c r="F73" s="33" t="s">
        <v>30</v>
      </c>
      <c r="G73" s="33"/>
      <c r="H73" s="33"/>
    </row>
    <row r="74" spans="2:10" x14ac:dyDescent="0.25">
      <c r="B74" s="1"/>
      <c r="C74" s="2" t="s">
        <v>17</v>
      </c>
      <c r="D74" s="2" t="s">
        <v>18</v>
      </c>
      <c r="E74" s="2" t="s">
        <v>19</v>
      </c>
      <c r="F74" s="2" t="s">
        <v>17</v>
      </c>
      <c r="G74" s="2" t="s">
        <v>18</v>
      </c>
      <c r="H74" s="2" t="s">
        <v>19</v>
      </c>
    </row>
    <row r="75" spans="2:10" x14ac:dyDescent="0.25">
      <c r="B75" s="1" t="s">
        <v>42</v>
      </c>
      <c r="C75" s="1">
        <f>C70</f>
        <v>450</v>
      </c>
      <c r="D75" s="16">
        <f>D70</f>
        <v>765.74457908163276</v>
      </c>
      <c r="E75" s="16">
        <f>C75*D75</f>
        <v>344585.06058673473</v>
      </c>
      <c r="F75" s="1">
        <f>F70</f>
        <v>350</v>
      </c>
      <c r="G75" s="16">
        <f>G70</f>
        <v>1241.5625</v>
      </c>
      <c r="H75" s="16">
        <f>F75*G75</f>
        <v>434546.875</v>
      </c>
      <c r="I75">
        <v>0.5</v>
      </c>
    </row>
    <row r="76" spans="2:10" x14ac:dyDescent="0.25">
      <c r="B76" s="1" t="s">
        <v>3</v>
      </c>
      <c r="C76" s="1">
        <f>C75</f>
        <v>450</v>
      </c>
      <c r="D76" s="16">
        <f>G30</f>
        <v>62</v>
      </c>
      <c r="E76" s="16">
        <f t="shared" ref="E76" si="4">C76*D76</f>
        <v>27900</v>
      </c>
      <c r="F76" s="1">
        <f>F75</f>
        <v>350</v>
      </c>
      <c r="G76" s="16">
        <f>G30</f>
        <v>62</v>
      </c>
      <c r="H76" s="16">
        <f t="shared" ref="H76" si="5">F76*G76</f>
        <v>21700</v>
      </c>
      <c r="I76">
        <v>1</v>
      </c>
    </row>
    <row r="77" spans="2:10" x14ac:dyDescent="0.25">
      <c r="B77" s="1" t="s">
        <v>4</v>
      </c>
      <c r="C77" s="25">
        <f>E75/1000</f>
        <v>344.58506058673476</v>
      </c>
      <c r="D77" s="16">
        <f>H30</f>
        <v>30.23076923076923</v>
      </c>
      <c r="E77" s="16">
        <f>C77*D77</f>
        <v>10417.071446968212</v>
      </c>
      <c r="F77" s="25">
        <f>H75/1000</f>
        <v>434.546875</v>
      </c>
      <c r="G77" s="16">
        <f>H30</f>
        <v>30.23076923076923</v>
      </c>
      <c r="H77" s="16">
        <f>F77*G77</f>
        <v>13136.686298076922</v>
      </c>
      <c r="I77">
        <v>1</v>
      </c>
    </row>
    <row r="78" spans="2:10" x14ac:dyDescent="0.25">
      <c r="B78" s="13" t="s">
        <v>64</v>
      </c>
      <c r="C78" s="1">
        <f>450</f>
        <v>450</v>
      </c>
      <c r="D78" s="16">
        <f>930*0.06</f>
        <v>55.8</v>
      </c>
      <c r="E78" s="16">
        <f>C78*D78</f>
        <v>25110</v>
      </c>
      <c r="F78" s="1">
        <v>350</v>
      </c>
      <c r="G78" s="16">
        <f>G83*0.06</f>
        <v>85.8</v>
      </c>
      <c r="H78" s="16">
        <f>F78*G78</f>
        <v>30030</v>
      </c>
      <c r="I78">
        <v>0.5</v>
      </c>
    </row>
    <row r="79" spans="2:10" x14ac:dyDescent="0.25">
      <c r="B79" s="21" t="s">
        <v>65</v>
      </c>
      <c r="C79" s="17">
        <f>C78</f>
        <v>450</v>
      </c>
      <c r="D79" s="22">
        <f>E79/C79</f>
        <v>906.69362674156207</v>
      </c>
      <c r="E79" s="22">
        <f>SUM(E75:E78)</f>
        <v>408012.13203370292</v>
      </c>
      <c r="F79" s="17">
        <f>F78</f>
        <v>350</v>
      </c>
      <c r="G79" s="22">
        <f>H79/F79</f>
        <v>1426.8958894230771</v>
      </c>
      <c r="H79" s="22">
        <f>SUM(H75:H78)</f>
        <v>499413.56129807694</v>
      </c>
    </row>
    <row r="80" spans="2:10" x14ac:dyDescent="0.25">
      <c r="J80">
        <f>SUM(I75:I78)</f>
        <v>3</v>
      </c>
    </row>
    <row r="81" spans="2:10" x14ac:dyDescent="0.25">
      <c r="B81" s="1"/>
      <c r="C81" s="33" t="s">
        <v>29</v>
      </c>
      <c r="D81" s="33"/>
      <c r="E81" s="33"/>
      <c r="F81" s="33" t="s">
        <v>30</v>
      </c>
      <c r="G81" s="33"/>
      <c r="H81" s="33"/>
    </row>
    <row r="82" spans="2:10" x14ac:dyDescent="0.25">
      <c r="B82" s="1"/>
      <c r="C82" s="2" t="s">
        <v>17</v>
      </c>
      <c r="D82" s="2" t="s">
        <v>18</v>
      </c>
      <c r="E82" s="2" t="s">
        <v>19</v>
      </c>
      <c r="F82" s="2" t="s">
        <v>17</v>
      </c>
      <c r="G82" s="2" t="s">
        <v>18</v>
      </c>
      <c r="H82" s="2" t="s">
        <v>19</v>
      </c>
    </row>
    <row r="83" spans="2:10" x14ac:dyDescent="0.25">
      <c r="B83" s="1" t="s">
        <v>66</v>
      </c>
      <c r="C83" s="1">
        <f>C78</f>
        <v>450</v>
      </c>
      <c r="D83" s="16">
        <v>930</v>
      </c>
      <c r="E83" s="16">
        <f>C83*D83</f>
        <v>418500</v>
      </c>
      <c r="F83" s="1">
        <f>F78</f>
        <v>350</v>
      </c>
      <c r="G83" s="16">
        <v>1430</v>
      </c>
      <c r="H83" s="16">
        <f>F83*G83</f>
        <v>500500</v>
      </c>
    </row>
    <row r="84" spans="2:10" x14ac:dyDescent="0.25">
      <c r="B84" s="1" t="s">
        <v>65</v>
      </c>
      <c r="C84" s="1">
        <f>C79</f>
        <v>450</v>
      </c>
      <c r="D84" s="16">
        <f>D79</f>
        <v>906.69362674156207</v>
      </c>
      <c r="E84" s="16">
        <f t="shared" ref="E84" si="6">C84*D84</f>
        <v>408012.13203370292</v>
      </c>
      <c r="F84" s="1">
        <f>F79</f>
        <v>350</v>
      </c>
      <c r="G84" s="16">
        <f>G79</f>
        <v>1426.8958894230771</v>
      </c>
      <c r="H84" s="16">
        <f t="shared" ref="H84" si="7">F84*G84</f>
        <v>499413.56129807699</v>
      </c>
    </row>
    <row r="85" spans="2:10" x14ac:dyDescent="0.25">
      <c r="B85" s="21" t="s">
        <v>67</v>
      </c>
      <c r="C85" s="17">
        <v>450</v>
      </c>
      <c r="D85" s="22">
        <f>E85/C85</f>
        <v>23.306373258437961</v>
      </c>
      <c r="E85" s="22">
        <f>E83-E84</f>
        <v>10487.867966297083</v>
      </c>
      <c r="F85" s="17">
        <f>F83</f>
        <v>350</v>
      </c>
      <c r="G85" s="22">
        <f>H85/F85</f>
        <v>3.1041105769228721</v>
      </c>
      <c r="H85" s="22">
        <f>H83-H84</f>
        <v>1086.4387019230053</v>
      </c>
      <c r="I85">
        <v>2</v>
      </c>
      <c r="J85">
        <f>I85</f>
        <v>2</v>
      </c>
    </row>
    <row r="87" spans="2:10" x14ac:dyDescent="0.25">
      <c r="B87" t="s">
        <v>70</v>
      </c>
    </row>
    <row r="89" spans="2:10" x14ac:dyDescent="0.25">
      <c r="B89" s="1"/>
      <c r="C89" s="33" t="s">
        <v>29</v>
      </c>
      <c r="D89" s="33"/>
      <c r="E89" s="33"/>
      <c r="F89" s="33" t="s">
        <v>30</v>
      </c>
      <c r="G89" s="33"/>
      <c r="H89" s="33"/>
    </row>
    <row r="90" spans="2:10" x14ac:dyDescent="0.25">
      <c r="B90" s="1"/>
      <c r="C90" s="2" t="s">
        <v>17</v>
      </c>
      <c r="D90" s="2" t="s">
        <v>18</v>
      </c>
      <c r="E90" s="2" t="s">
        <v>19</v>
      </c>
      <c r="F90" s="2" t="s">
        <v>17</v>
      </c>
      <c r="G90" s="2" t="s">
        <v>18</v>
      </c>
      <c r="H90" s="2" t="s">
        <v>19</v>
      </c>
    </row>
    <row r="91" spans="2:10" x14ac:dyDescent="0.25">
      <c r="B91" s="1" t="s">
        <v>75</v>
      </c>
      <c r="C91" s="25">
        <f>C77</f>
        <v>344.58506058673476</v>
      </c>
      <c r="D91" s="16">
        <f>D77</f>
        <v>30.23076923076923</v>
      </c>
      <c r="E91" s="16">
        <f>C91*D91</f>
        <v>10417.071446968212</v>
      </c>
      <c r="F91" s="25">
        <f>F77</f>
        <v>434.546875</v>
      </c>
      <c r="G91" s="16">
        <f>G77</f>
        <v>30.23076923076923</v>
      </c>
      <c r="H91" s="16">
        <f>F91*G91</f>
        <v>13136.686298076922</v>
      </c>
    </row>
    <row r="92" spans="2:10" x14ac:dyDescent="0.25">
      <c r="B92" s="1" t="s">
        <v>68</v>
      </c>
      <c r="C92" s="25">
        <f>C83</f>
        <v>450</v>
      </c>
      <c r="D92" s="16">
        <f>H25/G29</f>
        <v>29.475000000000001</v>
      </c>
      <c r="E92" s="16">
        <f t="shared" ref="E92" si="8">C92*D92</f>
        <v>13263.75</v>
      </c>
      <c r="F92" s="25">
        <f>F83</f>
        <v>350</v>
      </c>
      <c r="G92" s="16">
        <f>D92</f>
        <v>29.475000000000001</v>
      </c>
      <c r="H92" s="16">
        <f t="shared" ref="H92" si="9">F92*G92</f>
        <v>10316.25</v>
      </c>
      <c r="J92" s="26"/>
    </row>
    <row r="93" spans="2:10" x14ac:dyDescent="0.25">
      <c r="B93" s="21" t="s">
        <v>69</v>
      </c>
      <c r="C93" s="17"/>
      <c r="D93" s="22"/>
      <c r="E93" s="22">
        <f>E91-E92</f>
        <v>-2846.6785530317884</v>
      </c>
      <c r="F93" s="17"/>
      <c r="G93" s="22"/>
      <c r="H93" s="22">
        <f>H91-H92</f>
        <v>2820.436298076922</v>
      </c>
      <c r="I93">
        <v>2</v>
      </c>
      <c r="J93">
        <f>I93</f>
        <v>2</v>
      </c>
    </row>
    <row r="95" spans="2:10" x14ac:dyDescent="0.25">
      <c r="C95" s="32" t="s">
        <v>78</v>
      </c>
      <c r="F95" t="s">
        <v>77</v>
      </c>
      <c r="I95">
        <v>1</v>
      </c>
      <c r="J95">
        <v>2</v>
      </c>
    </row>
  </sheetData>
  <mergeCells count="24">
    <mergeCell ref="A61:B61"/>
    <mergeCell ref="A53:B54"/>
    <mergeCell ref="B3:E3"/>
    <mergeCell ref="A55:A58"/>
    <mergeCell ref="A59:A60"/>
    <mergeCell ref="B8:F8"/>
    <mergeCell ref="B13:F13"/>
    <mergeCell ref="B18:D18"/>
    <mergeCell ref="C35:E35"/>
    <mergeCell ref="F35:H35"/>
    <mergeCell ref="C42:E42"/>
    <mergeCell ref="F42:H42"/>
    <mergeCell ref="D20:D21"/>
    <mergeCell ref="B23:H23"/>
    <mergeCell ref="C81:E81"/>
    <mergeCell ref="F81:H81"/>
    <mergeCell ref="C89:E89"/>
    <mergeCell ref="F89:H89"/>
    <mergeCell ref="C53:E53"/>
    <mergeCell ref="F53:H53"/>
    <mergeCell ref="C65:E65"/>
    <mergeCell ref="F65:H65"/>
    <mergeCell ref="C73:E73"/>
    <mergeCell ref="F73:H73"/>
  </mergeCells>
  <pageMargins left="0.70866141732283472" right="0.70866141732283472" top="0.74803149606299213" bottom="0.74803149606299213" header="0.31496062992125984" footer="0.31496062992125984"/>
  <pageSetup paperSize="9" scale="6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9928-376E-4FCB-AFBA-77459452CD4A}">
  <sheetPr>
    <pageSetUpPr fitToPage="1"/>
  </sheetPr>
  <dimension ref="A2:I22"/>
  <sheetViews>
    <sheetView workbookViewId="0">
      <selection activeCell="E22" sqref="E22"/>
    </sheetView>
  </sheetViews>
  <sheetFormatPr baseColWidth="10" defaultRowHeight="15" x14ac:dyDescent="0.25"/>
  <cols>
    <col min="2" max="7" width="11.85546875" bestFit="1" customWidth="1"/>
    <col min="8" max="8" width="12.85546875" bestFit="1" customWidth="1"/>
  </cols>
  <sheetData>
    <row r="2" spans="1:9" x14ac:dyDescent="0.25">
      <c r="B2" s="1" t="s">
        <v>79</v>
      </c>
      <c r="C2" s="1" t="s">
        <v>80</v>
      </c>
      <c r="D2" s="1" t="s">
        <v>81</v>
      </c>
      <c r="E2" s="1" t="s">
        <v>82</v>
      </c>
      <c r="F2" s="1" t="s">
        <v>83</v>
      </c>
      <c r="G2" s="1" t="s">
        <v>84</v>
      </c>
      <c r="H2" s="1"/>
    </row>
    <row r="3" spans="1:9" x14ac:dyDescent="0.25">
      <c r="B3" s="16">
        <v>16000</v>
      </c>
      <c r="C3" s="16">
        <v>54900</v>
      </c>
      <c r="D3" s="16">
        <v>18000</v>
      </c>
      <c r="E3" s="16">
        <v>74900</v>
      </c>
      <c r="F3" s="16">
        <v>38400</v>
      </c>
      <c r="G3" s="16">
        <v>22600</v>
      </c>
      <c r="H3" s="16">
        <f>SUM(B3:G3)</f>
        <v>224800</v>
      </c>
    </row>
    <row r="4" spans="1:9" x14ac:dyDescent="0.25">
      <c r="A4" s="1" t="s">
        <v>79</v>
      </c>
      <c r="B4" s="16">
        <v>21928.57</v>
      </c>
      <c r="C4" s="16">
        <f>B4*0.2</f>
        <v>4385.7139999999999</v>
      </c>
      <c r="D4" s="16">
        <f>B4*0.1</f>
        <v>2192.857</v>
      </c>
      <c r="E4" s="16">
        <f>D4*4</f>
        <v>8771.4279999999999</v>
      </c>
      <c r="F4" s="16">
        <f>D4*1.5</f>
        <v>3289.2855</v>
      </c>
      <c r="G4" s="16">
        <f>F4</f>
        <v>3289.2855</v>
      </c>
      <c r="H4" s="16"/>
    </row>
    <row r="5" spans="1:9" x14ac:dyDescent="0.25">
      <c r="A5" s="1" t="s">
        <v>80</v>
      </c>
      <c r="B5" s="16">
        <f>C5*0.1</f>
        <v>5928.5709999999999</v>
      </c>
      <c r="C5" s="16">
        <v>59285.71</v>
      </c>
      <c r="D5" s="16">
        <f>C5*0.6</f>
        <v>35571.425999999999</v>
      </c>
      <c r="E5" s="16"/>
      <c r="F5" s="16"/>
      <c r="G5" s="16">
        <f>C5*0.3</f>
        <v>17785.713</v>
      </c>
      <c r="H5" s="16"/>
    </row>
    <row r="6" spans="1:9" x14ac:dyDescent="0.25">
      <c r="B6" s="16">
        <f>B3-B4+B5</f>
        <v>1.0000000002037268E-3</v>
      </c>
      <c r="C6" s="16">
        <f>C3+C4-C5</f>
        <v>4.0000000008149073E-3</v>
      </c>
      <c r="D6" s="18">
        <f t="shared" ref="D6:G6" si="0">SUM(D3:D5)</f>
        <v>55764.282999999996</v>
      </c>
      <c r="E6" s="18">
        <f t="shared" si="0"/>
        <v>83671.428</v>
      </c>
      <c r="F6" s="18">
        <f t="shared" si="0"/>
        <v>41689.285499999998</v>
      </c>
      <c r="G6" s="18">
        <f t="shared" si="0"/>
        <v>43674.998500000002</v>
      </c>
      <c r="H6" s="16">
        <f>SUM(B6:G6)</f>
        <v>224800</v>
      </c>
      <c r="I6">
        <v>2</v>
      </c>
    </row>
    <row r="10" spans="1:9" x14ac:dyDescent="0.25">
      <c r="A10">
        <f>I6+E22</f>
        <v>4</v>
      </c>
    </row>
    <row r="22" spans="5:5" x14ac:dyDescent="0.25">
      <c r="E22">
        <v>2</v>
      </c>
    </row>
  </sheetData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Partie 1</vt:lpstr>
      <vt:lpstr>Partie 2</vt:lpstr>
      <vt:lpstr>'Partie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cp:lastPrinted>2022-06-15T14:00:28Z</cp:lastPrinted>
  <dcterms:created xsi:type="dcterms:W3CDTF">2021-05-21T06:15:00Z</dcterms:created>
  <dcterms:modified xsi:type="dcterms:W3CDTF">2023-03-02T08:20:09Z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35702c45-b095-450f-939a-30aed69394d5</vt:lpwstr>
  </property>
</Properties>
</file>