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eve-my.sharepoint.com/personal/eric_noel_univ-evry_fr/Documents/BUT/Cours BUT2/CG2P/R4 CG2P09/DS/DS2 FI CG2P R409/"/>
    </mc:Choice>
  </mc:AlternateContent>
  <xr:revisionPtr revIDLastSave="0" documentId="8_{CA6635BA-64F2-4EC9-9B80-11A6EC2FA371}" xr6:coauthVersionLast="36" xr6:coauthVersionMax="36" xr10:uidLastSave="{00000000-0000-0000-0000-000000000000}"/>
  <bookViews>
    <workbookView xWindow="28680" yWindow="-120" windowWidth="25440" windowHeight="15396" activeTab="2" xr2:uid="{2B0B9F4A-3238-4FBC-8F68-784F69B5F53B}"/>
  </bookViews>
  <sheets>
    <sheet name="Sur 7 ans" sheetId="3" r:id="rId1"/>
    <sheet name="Sur 5 ans" sheetId="4" r:id="rId2"/>
    <sheet name="Financement empruny" sheetId="5" r:id="rId3"/>
    <sheet name="Crédit bail" sheetId="7" r:id="rId4"/>
    <sheet name="Feuille 5" sheetId="6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5" l="1"/>
  <c r="E4" i="5"/>
  <c r="E5" i="5" s="1"/>
  <c r="E6" i="5" s="1"/>
  <c r="G3" i="5"/>
  <c r="G4" i="5"/>
  <c r="G5" i="5"/>
  <c r="G6" i="5"/>
  <c r="G2" i="5"/>
  <c r="F3" i="5"/>
  <c r="F4" i="5"/>
  <c r="F5" i="5"/>
  <c r="F6" i="5"/>
  <c r="F2" i="5"/>
  <c r="D39" i="3"/>
  <c r="B37" i="3"/>
  <c r="L34" i="3"/>
  <c r="B30" i="3"/>
  <c r="H2" i="7" l="1"/>
  <c r="G21" i="7"/>
  <c r="F21" i="7"/>
  <c r="E21" i="7"/>
  <c r="D21" i="7"/>
  <c r="C21" i="7"/>
  <c r="B20" i="7"/>
  <c r="B17" i="7"/>
  <c r="G16" i="7"/>
  <c r="B6" i="7"/>
  <c r="C6" i="7" s="1"/>
  <c r="D6" i="7" s="1"/>
  <c r="E6" i="7" s="1"/>
  <c r="F6" i="7" s="1"/>
  <c r="F5" i="7"/>
  <c r="E5" i="7"/>
  <c r="F13" i="6" s="1"/>
  <c r="J4" i="5"/>
  <c r="H5" i="4"/>
  <c r="C31" i="6"/>
  <c r="C29" i="6"/>
  <c r="C27" i="6"/>
  <c r="H6" i="6"/>
  <c r="H5" i="6"/>
  <c r="H4" i="6"/>
  <c r="H3" i="6"/>
  <c r="H2" i="6"/>
  <c r="F2" i="6"/>
  <c r="C15" i="6" s="1"/>
  <c r="E2" i="6"/>
  <c r="J21" i="5"/>
  <c r="B34" i="5"/>
  <c r="B30" i="5"/>
  <c r="B32" i="5" s="1"/>
  <c r="F19" i="5"/>
  <c r="G14" i="6" s="1"/>
  <c r="E19" i="5"/>
  <c r="F14" i="6" s="1"/>
  <c r="D19" i="5"/>
  <c r="E14" i="6" s="1"/>
  <c r="C19" i="5"/>
  <c r="D14" i="6" s="1"/>
  <c r="B19" i="5"/>
  <c r="C14" i="6" s="1"/>
  <c r="F18" i="5"/>
  <c r="E18" i="5"/>
  <c r="F17" i="5"/>
  <c r="F4" i="7" s="1"/>
  <c r="F7" i="7" s="1"/>
  <c r="E17" i="5"/>
  <c r="E4" i="7" s="1"/>
  <c r="E7" i="7" s="1"/>
  <c r="D18" i="5"/>
  <c r="D5" i="7" s="1"/>
  <c r="E13" i="6" s="1"/>
  <c r="C11" i="5"/>
  <c r="C18" i="5" s="1"/>
  <c r="C5" i="7" s="1"/>
  <c r="D13" i="6" s="1"/>
  <c r="B11" i="5"/>
  <c r="B18" i="5" s="1"/>
  <c r="H6" i="5"/>
  <c r="H5" i="5"/>
  <c r="H4" i="5"/>
  <c r="H3" i="5"/>
  <c r="H2" i="5"/>
  <c r="E2" i="5"/>
  <c r="B20" i="5" s="1"/>
  <c r="F8" i="7" l="1"/>
  <c r="F9" i="7"/>
  <c r="F10" i="7" s="1"/>
  <c r="G14" i="7" s="1"/>
  <c r="E8" i="7"/>
  <c r="E9" i="7" s="1"/>
  <c r="E10" i="7" s="1"/>
  <c r="F14" i="7" s="1"/>
  <c r="F17" i="7" s="1"/>
  <c r="F22" i="7" s="1"/>
  <c r="B17" i="5"/>
  <c r="B4" i="7" s="1"/>
  <c r="C17" i="5"/>
  <c r="C4" i="7" s="1"/>
  <c r="C7" i="7" s="1"/>
  <c r="G13" i="6"/>
  <c r="B5" i="7"/>
  <c r="C13" i="6" s="1"/>
  <c r="J19" i="5"/>
  <c r="J20" i="5" s="1"/>
  <c r="J22" i="5" s="1"/>
  <c r="J23" i="5" s="1"/>
  <c r="J24" i="5" s="1"/>
  <c r="G29" i="5" s="1"/>
  <c r="H26" i="6" s="1"/>
  <c r="G2" i="6"/>
  <c r="B21" i="5"/>
  <c r="D17" i="5"/>
  <c r="C36" i="5"/>
  <c r="C37" i="5" s="1"/>
  <c r="G31" i="5" l="1"/>
  <c r="B35" i="5" s="1"/>
  <c r="D4" i="7"/>
  <c r="D7" i="7" s="1"/>
  <c r="B7" i="7"/>
  <c r="G15" i="7"/>
  <c r="B19" i="7" s="1"/>
  <c r="B21" i="7" s="1"/>
  <c r="B22" i="7" s="1"/>
  <c r="C8" i="7"/>
  <c r="C9" i="7" s="1"/>
  <c r="C10" i="7" s="1"/>
  <c r="D14" i="7" s="1"/>
  <c r="D17" i="7" s="1"/>
  <c r="D22" i="7" s="1"/>
  <c r="G17" i="7"/>
  <c r="G22" i="7" s="1"/>
  <c r="C12" i="6"/>
  <c r="C16" i="6" s="1"/>
  <c r="C17" i="6" s="1"/>
  <c r="C18" i="6" s="1"/>
  <c r="C19" i="6" s="1"/>
  <c r="D25" i="6" s="1"/>
  <c r="D29" i="6" s="1"/>
  <c r="G12" i="6"/>
  <c r="F12" i="6"/>
  <c r="D12" i="6"/>
  <c r="E3" i="6"/>
  <c r="D33" i="6"/>
  <c r="D34" i="6" s="1"/>
  <c r="B22" i="5"/>
  <c r="B23" i="5" s="1"/>
  <c r="B24" i="5" s="1"/>
  <c r="C28" i="5" s="1"/>
  <c r="C32" i="5" s="1"/>
  <c r="C38" i="5" s="1"/>
  <c r="B37" i="5" l="1"/>
  <c r="B38" i="5" s="1"/>
  <c r="C32" i="6"/>
  <c r="B8" i="7"/>
  <c r="B9" i="7" s="1"/>
  <c r="B10" i="7" s="1"/>
  <c r="C14" i="7" s="1"/>
  <c r="C17" i="7" s="1"/>
  <c r="C22" i="7" s="1"/>
  <c r="B23" i="7" s="1"/>
  <c r="D8" i="7"/>
  <c r="D9" i="7"/>
  <c r="D10" i="7" s="1"/>
  <c r="E14" i="7" s="1"/>
  <c r="E17" i="7" s="1"/>
  <c r="E22" i="7" s="1"/>
  <c r="D35" i="6"/>
  <c r="E12" i="6"/>
  <c r="F3" i="6"/>
  <c r="C20" i="5"/>
  <c r="C21" i="5" s="1"/>
  <c r="H28" i="6" l="1"/>
  <c r="C34" i="6"/>
  <c r="C35" i="6" s="1"/>
  <c r="G3" i="6"/>
  <c r="D15" i="6"/>
  <c r="D16" i="6" s="1"/>
  <c r="C22" i="5"/>
  <c r="C23" i="5" s="1"/>
  <c r="C24" i="5" s="1"/>
  <c r="D28" i="5" s="1"/>
  <c r="D32" i="5" s="1"/>
  <c r="D36" i="5"/>
  <c r="D37" i="5" s="1"/>
  <c r="D38" i="5" l="1"/>
  <c r="D17" i="6"/>
  <c r="D18" i="6" s="1"/>
  <c r="D19" i="6" s="1"/>
  <c r="E25" i="6" s="1"/>
  <c r="E29" i="6" s="1"/>
  <c r="E35" i="6" s="1"/>
  <c r="E33" i="6"/>
  <c r="E34" i="6" s="1"/>
  <c r="E4" i="6"/>
  <c r="F4" i="6" l="1"/>
  <c r="D20" i="5"/>
  <c r="D21" i="5" s="1"/>
  <c r="G4" i="6" l="1"/>
  <c r="E15" i="6"/>
  <c r="E16" i="6" s="1"/>
  <c r="E36" i="5"/>
  <c r="E37" i="5" s="1"/>
  <c r="D22" i="5"/>
  <c r="D23" i="5" s="1"/>
  <c r="D24" i="5" s="1"/>
  <c r="E28" i="5" s="1"/>
  <c r="E32" i="5" s="1"/>
  <c r="E38" i="5" l="1"/>
  <c r="E17" i="6"/>
  <c r="E18" i="6" s="1"/>
  <c r="E19" i="6" s="1"/>
  <c r="F25" i="6" s="1"/>
  <c r="F29" i="6" s="1"/>
  <c r="F35" i="6" s="1"/>
  <c r="F33" i="6"/>
  <c r="F34" i="6" s="1"/>
  <c r="E5" i="6"/>
  <c r="F5" i="6" l="1"/>
  <c r="E20" i="5"/>
  <c r="E21" i="5" s="1"/>
  <c r="F15" i="6" l="1"/>
  <c r="F16" i="6" s="1"/>
  <c r="G5" i="6"/>
  <c r="E22" i="5"/>
  <c r="E23" i="5" s="1"/>
  <c r="E24" i="5" s="1"/>
  <c r="F28" i="5" s="1"/>
  <c r="F32" i="5" s="1"/>
  <c r="F36" i="5"/>
  <c r="F37" i="5" s="1"/>
  <c r="J2" i="3"/>
  <c r="F17" i="6" l="1"/>
  <c r="F18" i="6" s="1"/>
  <c r="F19" i="6" s="1"/>
  <c r="G25" i="6" s="1"/>
  <c r="G29" i="6" s="1"/>
  <c r="G35" i="6" s="1"/>
  <c r="G33" i="6"/>
  <c r="G34" i="6" s="1"/>
  <c r="E6" i="6"/>
  <c r="F6" i="6" s="1"/>
  <c r="F38" i="5"/>
  <c r="F20" i="5"/>
  <c r="F21" i="5" s="1"/>
  <c r="G36" i="5"/>
  <c r="G37" i="5" s="1"/>
  <c r="B31" i="4"/>
  <c r="I28" i="4"/>
  <c r="B15" i="4"/>
  <c r="B14" i="4"/>
  <c r="F13" i="4"/>
  <c r="E13" i="4"/>
  <c r="D13" i="4"/>
  <c r="C13" i="4"/>
  <c r="B13" i="4"/>
  <c r="C8" i="4"/>
  <c r="C15" i="4" s="1"/>
  <c r="C7" i="4"/>
  <c r="C14" i="4" s="1"/>
  <c r="D2" i="4"/>
  <c r="E16" i="4" s="1"/>
  <c r="B31" i="3"/>
  <c r="L30" i="3"/>
  <c r="C7" i="3"/>
  <c r="C14" i="3" s="1"/>
  <c r="C8" i="3"/>
  <c r="C15" i="3" s="1"/>
  <c r="B15" i="3"/>
  <c r="B14" i="3"/>
  <c r="C13" i="3"/>
  <c r="D13" i="3"/>
  <c r="E13" i="3"/>
  <c r="F13" i="3"/>
  <c r="G13" i="3"/>
  <c r="H13" i="3"/>
  <c r="B13" i="3"/>
  <c r="D2" i="3"/>
  <c r="D16" i="3" s="1"/>
  <c r="G6" i="6" l="1"/>
  <c r="H33" i="6" s="1"/>
  <c r="H34" i="6" s="1"/>
  <c r="G15" i="6"/>
  <c r="G16" i="6" s="1"/>
  <c r="F22" i="5"/>
  <c r="F23" i="5" s="1"/>
  <c r="F24" i="5" s="1"/>
  <c r="G28" i="5" s="1"/>
  <c r="G32" i="5" s="1"/>
  <c r="G38" i="5" s="1"/>
  <c r="B39" i="5" s="1"/>
  <c r="D8" i="3"/>
  <c r="E8" i="3" s="1"/>
  <c r="F16" i="4"/>
  <c r="B30" i="4"/>
  <c r="D7" i="4"/>
  <c r="B16" i="4"/>
  <c r="C16" i="4"/>
  <c r="C17" i="4" s="1"/>
  <c r="D8" i="4"/>
  <c r="D16" i="4"/>
  <c r="C16" i="3"/>
  <c r="C17" i="3" s="1"/>
  <c r="B16" i="3"/>
  <c r="D7" i="3"/>
  <c r="E7" i="3" s="1"/>
  <c r="E14" i="3" s="1"/>
  <c r="F8" i="3"/>
  <c r="E15" i="3"/>
  <c r="H16" i="3"/>
  <c r="G16" i="3"/>
  <c r="F16" i="3"/>
  <c r="E16" i="3"/>
  <c r="D15" i="3" l="1"/>
  <c r="G17" i="6"/>
  <c r="G18" i="6" s="1"/>
  <c r="G19" i="6" s="1"/>
  <c r="H25" i="6" s="1"/>
  <c r="H29" i="6" s="1"/>
  <c r="H35" i="6" s="1"/>
  <c r="C36" i="6" s="1"/>
  <c r="C18" i="3"/>
  <c r="C20" i="3" s="1"/>
  <c r="B17" i="3"/>
  <c r="L27" i="3"/>
  <c r="L28" i="3" s="1"/>
  <c r="L31" i="3" s="1"/>
  <c r="L32" i="3" s="1"/>
  <c r="I26" i="3" s="1"/>
  <c r="I27" i="3"/>
  <c r="B33" i="3"/>
  <c r="C18" i="4"/>
  <c r="B33" i="4"/>
  <c r="G27" i="4"/>
  <c r="D15" i="4"/>
  <c r="E8" i="4"/>
  <c r="I25" i="4"/>
  <c r="I26" i="4" s="1"/>
  <c r="I29" i="4" s="1"/>
  <c r="I30" i="4" s="1"/>
  <c r="E7" i="4"/>
  <c r="D14" i="4"/>
  <c r="B17" i="4"/>
  <c r="E17" i="3"/>
  <c r="E19" i="3" s="1"/>
  <c r="E20" i="3" s="1"/>
  <c r="E21" i="3" s="1"/>
  <c r="F25" i="3" s="1"/>
  <c r="F33" i="3" s="1"/>
  <c r="F7" i="3"/>
  <c r="F14" i="3" s="1"/>
  <c r="D14" i="3"/>
  <c r="G8" i="3"/>
  <c r="F15" i="3"/>
  <c r="D17" i="3" l="1"/>
  <c r="D19" i="3" s="1"/>
  <c r="D20" i="3" s="1"/>
  <c r="D21" i="3" s="1"/>
  <c r="E25" i="3" s="1"/>
  <c r="E33" i="3" s="1"/>
  <c r="B18" i="3"/>
  <c r="B20" i="3" s="1"/>
  <c r="F17" i="3"/>
  <c r="F19" i="3" s="1"/>
  <c r="F20" i="3" s="1"/>
  <c r="F21" i="3" s="1"/>
  <c r="G25" i="3" s="1"/>
  <c r="G33" i="3" s="1"/>
  <c r="C21" i="3"/>
  <c r="D25" i="3" s="1"/>
  <c r="D33" i="3" s="1"/>
  <c r="C20" i="4"/>
  <c r="C21" i="4" s="1"/>
  <c r="D25" i="4" s="1"/>
  <c r="D33" i="4" s="1"/>
  <c r="G26" i="4"/>
  <c r="F7" i="4"/>
  <c r="E14" i="4"/>
  <c r="E15" i="4"/>
  <c r="F8" i="4"/>
  <c r="B18" i="4"/>
  <c r="B20" i="4" s="1"/>
  <c r="D17" i="4"/>
  <c r="G7" i="3"/>
  <c r="H7" i="3" s="1"/>
  <c r="H14" i="3" s="1"/>
  <c r="G14" i="3"/>
  <c r="H8" i="3"/>
  <c r="H15" i="3" s="1"/>
  <c r="G15" i="3"/>
  <c r="B21" i="3" l="1"/>
  <c r="E17" i="4"/>
  <c r="B21" i="4"/>
  <c r="C25" i="4" s="1"/>
  <c r="C33" i="4" s="1"/>
  <c r="E19" i="4"/>
  <c r="E20" i="4" s="1"/>
  <c r="E21" i="4" s="1"/>
  <c r="F25" i="4" s="1"/>
  <c r="F33" i="4" s="1"/>
  <c r="D19" i="4"/>
  <c r="D20" i="4" s="1"/>
  <c r="D21" i="4" s="1"/>
  <c r="E25" i="4" s="1"/>
  <c r="E33" i="4" s="1"/>
  <c r="F14" i="4"/>
  <c r="F15" i="4"/>
  <c r="G17" i="3"/>
  <c r="H17" i="3"/>
  <c r="G19" i="3" l="1"/>
  <c r="G20" i="3" s="1"/>
  <c r="H18" i="3"/>
  <c r="H20" i="3" s="1"/>
  <c r="C25" i="3"/>
  <c r="C33" i="3" s="1"/>
  <c r="F17" i="4"/>
  <c r="H21" i="3" l="1"/>
  <c r="I25" i="3" s="1"/>
  <c r="I33" i="3" s="1"/>
  <c r="G21" i="3"/>
  <c r="F19" i="4"/>
  <c r="F20" i="4" s="1"/>
  <c r="F21" i="4" s="1"/>
  <c r="G25" i="4" s="1"/>
  <c r="G33" i="4" s="1"/>
  <c r="H25" i="3" l="1"/>
  <c r="H33" i="3" s="1"/>
  <c r="I22" i="3"/>
  <c r="B37" i="4"/>
  <c r="B39" i="3" l="1"/>
</calcChain>
</file>

<file path=xl/sharedStrings.xml><?xml version="1.0" encoding="utf-8"?>
<sst xmlns="http://schemas.openxmlformats.org/spreadsheetml/2006/main" count="186" uniqueCount="67">
  <si>
    <t>Quantité</t>
  </si>
  <si>
    <t>Investissement</t>
  </si>
  <si>
    <t>P. Vente</t>
  </si>
  <si>
    <t>Charges variables unitaire</t>
  </si>
  <si>
    <t>Charges fixes (hors amortissement)</t>
  </si>
  <si>
    <t>CA</t>
  </si>
  <si>
    <t>Charges variables</t>
  </si>
  <si>
    <t>Charges fixes</t>
  </si>
  <si>
    <t>Amortissements</t>
  </si>
  <si>
    <t>Résultat</t>
  </si>
  <si>
    <t>Eco IS</t>
  </si>
  <si>
    <t>IS</t>
  </si>
  <si>
    <t>Résultat net</t>
  </si>
  <si>
    <t>CAF</t>
  </si>
  <si>
    <t>Cession Investissement</t>
  </si>
  <si>
    <t>Cession</t>
  </si>
  <si>
    <t>Reprise du BFR</t>
  </si>
  <si>
    <t>BFR</t>
  </si>
  <si>
    <t xml:space="preserve">TOTAL </t>
  </si>
  <si>
    <t>VAN</t>
  </si>
  <si>
    <t>TIR</t>
  </si>
  <si>
    <t>années</t>
  </si>
  <si>
    <t>N</t>
  </si>
  <si>
    <t>N+1</t>
  </si>
  <si>
    <t>N+2</t>
  </si>
  <si>
    <t>N+3</t>
  </si>
  <si>
    <t>N+4</t>
  </si>
  <si>
    <t>Quantités vendues</t>
  </si>
  <si>
    <t>montant de l'investissement</t>
  </si>
  <si>
    <t>prix de vente</t>
  </si>
  <si>
    <t>coût de revient</t>
  </si>
  <si>
    <t>Charges</t>
  </si>
  <si>
    <t>Dotation aux amortissements</t>
  </si>
  <si>
    <t>Résultat avant IS</t>
  </si>
  <si>
    <t>IS-25%</t>
  </si>
  <si>
    <t>Résultat après IS</t>
  </si>
  <si>
    <t>Années</t>
  </si>
  <si>
    <t>Début N</t>
  </si>
  <si>
    <t>ENCAISSEMENTS</t>
  </si>
  <si>
    <t>Caf</t>
  </si>
  <si>
    <t>Cession net IS</t>
  </si>
  <si>
    <t>Récupération du BFR</t>
  </si>
  <si>
    <t>total</t>
  </si>
  <si>
    <t>DECAISSEMENTS</t>
  </si>
  <si>
    <t>Acquisition</t>
  </si>
  <si>
    <t>Total</t>
  </si>
  <si>
    <t>Flux nets de trésorerie</t>
  </si>
  <si>
    <t>TAUX</t>
  </si>
  <si>
    <t>emprunt</t>
  </si>
  <si>
    <t>montant de capital restant du</t>
  </si>
  <si>
    <t>intérêts</t>
  </si>
  <si>
    <t>montant du capital remboursé</t>
  </si>
  <si>
    <t>annuité</t>
  </si>
  <si>
    <t>durée</t>
  </si>
  <si>
    <t>Taux</t>
  </si>
  <si>
    <t>annuités (hors interets)</t>
  </si>
  <si>
    <t>loyers</t>
  </si>
  <si>
    <t>remboursement depots de garantie</t>
  </si>
  <si>
    <t>depots de garantie</t>
  </si>
  <si>
    <t>Prix d'achat</t>
  </si>
  <si>
    <t>Amts / 7 ans</t>
  </si>
  <si>
    <t>VNC</t>
  </si>
  <si>
    <t>Prix de cession</t>
  </si>
  <si>
    <t>+Value</t>
  </si>
  <si>
    <t>IS de 25% de la +Value</t>
  </si>
  <si>
    <t>Cession net IS (Prix de cession - IS)</t>
  </si>
  <si>
    <t>FLUX NET DE TRESORERIE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</si>
</sst>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/>
    <xf numFmtId="0" fontId="0" fillId="0" borderId="1" xfId="0" applyBorder="1"/>
    <xf numFmtId="2" fontId="0" fillId="0" borderId="0" xfId="0" applyNumberFormat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164" fontId="0" fillId="0" borderId="1" xfId="0" applyNumberFormat="1" applyBorder="1"/>
    <xf numFmtId="0" fontId="0" fillId="3" borderId="1" xfId="0" applyFill="1" applyBorder="1" applyAlignment="1">
      <alignment horizontal="center"/>
    </xf>
    <xf numFmtId="164" fontId="0" fillId="4" borderId="1" xfId="0" applyNumberFormat="1" applyFill="1" applyBorder="1"/>
    <xf numFmtId="164" fontId="0" fillId="0" borderId="0" xfId="0" applyNumberFormat="1"/>
    <xf numFmtId="8" fontId="0" fillId="4" borderId="1" xfId="0" applyNumberFormat="1" applyFill="1" applyBorder="1"/>
    <xf numFmtId="9" fontId="0" fillId="0" borderId="1" xfId="0" applyNumberFormat="1" applyBorder="1"/>
    <xf numFmtId="0" fontId="0" fillId="5" borderId="1" xfId="0" applyFill="1" applyBorder="1"/>
    <xf numFmtId="0" fontId="0" fillId="5" borderId="1" xfId="0" applyFill="1" applyBorder="1" applyAlignment="1">
      <alignment wrapText="1"/>
    </xf>
    <xf numFmtId="8" fontId="0" fillId="0" borderId="1" xfId="0" applyNumberFormat="1" applyBorder="1"/>
    <xf numFmtId="8" fontId="0" fillId="0" borderId="0" xfId="0" applyNumberFormat="1"/>
    <xf numFmtId="0" fontId="0" fillId="2" borderId="0" xfId="0" applyFill="1"/>
    <xf numFmtId="10" fontId="0" fillId="2" borderId="0" xfId="0" applyNumberFormat="1" applyFill="1"/>
    <xf numFmtId="44" fontId="0" fillId="2" borderId="0" xfId="1" applyFont="1" applyFill="1"/>
    <xf numFmtId="44" fontId="0" fillId="0" borderId="1" xfId="1" applyFont="1" applyBorder="1" applyAlignment="1">
      <alignment horizontal="center"/>
    </xf>
    <xf numFmtId="9" fontId="0" fillId="2" borderId="0" xfId="0" applyNumberFormat="1" applyFill="1"/>
    <xf numFmtId="2" fontId="0" fillId="0" borderId="5" xfId="0" applyNumberFormat="1" applyFill="1" applyBorder="1"/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44" fontId="3" fillId="0" borderId="1" xfId="1" applyFont="1" applyBorder="1"/>
    <xf numFmtId="0" fontId="0" fillId="6" borderId="0" xfId="0" applyFill="1"/>
    <xf numFmtId="0" fontId="0" fillId="0" borderId="0" xfId="0" quotePrefix="1"/>
    <xf numFmtId="0" fontId="0" fillId="7" borderId="1" xfId="0" applyFill="1" applyBorder="1"/>
    <xf numFmtId="44" fontId="3" fillId="7" borderId="1" xfId="1" applyFont="1" applyFill="1" applyBorder="1"/>
    <xf numFmtId="0" fontId="0" fillId="8" borderId="1" xfId="0" applyFill="1" applyBorder="1"/>
    <xf numFmtId="44" fontId="3" fillId="8" borderId="1" xfId="1" applyFont="1" applyFill="1" applyBorder="1"/>
    <xf numFmtId="10" fontId="0" fillId="0" borderId="0" xfId="0" applyNumberFormat="1"/>
    <xf numFmtId="10" fontId="0" fillId="2" borderId="0" xfId="2" applyNumberFormat="1" applyFont="1" applyFill="1"/>
    <xf numFmtId="164" fontId="0" fillId="2" borderId="1" xfId="0" applyNumberFormat="1" applyFill="1" applyBorder="1"/>
    <xf numFmtId="8" fontId="0" fillId="2" borderId="1" xfId="0" applyNumberFormat="1" applyFill="1" applyBorder="1"/>
    <xf numFmtId="0" fontId="4" fillId="2" borderId="1" xfId="0" applyFont="1" applyFill="1" applyBorder="1"/>
    <xf numFmtId="164" fontId="4" fillId="2" borderId="1" xfId="0" applyNumberFormat="1" applyFont="1" applyFill="1" applyBorder="1"/>
    <xf numFmtId="0" fontId="2" fillId="3" borderId="1" xfId="0" applyFont="1" applyFill="1" applyBorder="1"/>
    <xf numFmtId="164" fontId="2" fillId="0" borderId="1" xfId="0" applyNumberFormat="1" applyFont="1" applyBorder="1"/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428625</xdr:colOff>
      <xdr:row>32</xdr:row>
      <xdr:rowOff>104774</xdr:rowOff>
    </xdr:from>
    <xdr:to>
      <xdr:col>12</xdr:col>
      <xdr:colOff>85725</xdr:colOff>
      <xdr:row>35</xdr:row>
      <xdr:rowOff>133349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A345204B-12B6-40F8-A5FD-8B592B2B812B}"/>
            </a:ext>
          </a:extLst>
        </xdr:cNvPr>
        <xdr:cNvSpPr txBox="1"/>
      </xdr:nvSpPr>
      <xdr:spPr>
        <a:xfrm>
          <a:off x="9953625" y="6581774"/>
          <a:ext cx="4029075" cy="600075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l'emprunt </a:t>
          </a:r>
          <a:r>
            <a:rPr lang="fr-FR" sz="1100" baseline="0"/>
            <a:t>doit être préconisé car il est plus rentable que la location du matériel.</a:t>
          </a:r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295274</xdr:colOff>
      <xdr:row>36</xdr:row>
      <xdr:rowOff>19050</xdr:rowOff>
    </xdr:from>
    <xdr:to>
      <xdr:col>10</xdr:col>
      <xdr:colOff>466724</xdr:colOff>
      <xdr:row>40</xdr:row>
      <xdr:rowOff>133350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8839BD8D-D86B-44C3-A785-92E4DB3F174E}"/>
            </a:ext>
          </a:extLst>
        </xdr:cNvPr>
        <xdr:cNvSpPr txBox="1"/>
      </xdr:nvSpPr>
      <xdr:spPr>
        <a:xfrm>
          <a:off x="6095999" y="7258050"/>
          <a:ext cx="4524375" cy="8763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La</a:t>
          </a:r>
          <a:r>
            <a:rPr lang="fr-FR" sz="1100" baseline="0"/>
            <a:t> rentabilité du projet a diminuée... Il est donc préférable d'emprunter la totalité des 500000€ car l'entreprise bénéficie d'un effet de levier. Le taux d'intérpets net d'IS (4,5%) est plus faible que la rentabilité économique du projet (27%)</a:t>
          </a:r>
          <a:endParaRPr lang="fr-F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ric_noel_univ-evry_fr/Documents/BUT/Cours%20BUT2/GEMA/R3%20GEMA12/DS1%20GEMA%202022%202023/DS2%20R3GEMA12/Correction%20DS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stissement 1"/>
      <sheetName val="investissement 2"/>
      <sheetName val="Financement"/>
      <sheetName val="autofinancement"/>
    </sheetNames>
    <sheetDataSet>
      <sheetData sheetId="0">
        <row r="3">
          <cell r="B3">
            <v>50000</v>
          </cell>
          <cell r="C3">
            <v>52500</v>
          </cell>
        </row>
      </sheetData>
      <sheetData sheetId="1"/>
      <sheetData sheetId="2">
        <row r="34">
          <cell r="B34">
            <v>500000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5F648-61CB-4116-A72F-28A275DF1BCB}">
  <dimension ref="A2:M39"/>
  <sheetViews>
    <sheetView topLeftCell="A23" zoomScale="140" zoomScaleNormal="140" workbookViewId="0">
      <selection activeCell="A38" sqref="A38"/>
    </sheetView>
  </sheetViews>
  <sheetFormatPr baseColWidth="10" defaultRowHeight="14.4" x14ac:dyDescent="0.3"/>
  <cols>
    <col min="1" max="1" width="32.88671875" bestFit="1" customWidth="1"/>
    <col min="2" max="2" width="14.33203125" bestFit="1" customWidth="1"/>
    <col min="3" max="3" width="13.109375" bestFit="1" customWidth="1"/>
    <col min="4" max="7" width="14.44140625" bestFit="1" customWidth="1"/>
    <col min="8" max="8" width="13.109375" bestFit="1" customWidth="1"/>
    <col min="9" max="9" width="14.33203125" bestFit="1" customWidth="1"/>
  </cols>
  <sheetData>
    <row r="2" spans="1:10" x14ac:dyDescent="0.3">
      <c r="A2" t="s">
        <v>1</v>
      </c>
      <c r="B2">
        <v>3000000</v>
      </c>
      <c r="C2">
        <v>10</v>
      </c>
      <c r="D2">
        <f>B2/C2</f>
        <v>300000</v>
      </c>
      <c r="F2" t="s">
        <v>15</v>
      </c>
      <c r="G2">
        <v>1150000</v>
      </c>
      <c r="J2">
        <f>SUM(J12:J39)</f>
        <v>8</v>
      </c>
    </row>
    <row r="4" spans="1:10" x14ac:dyDescent="0.3"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>
        <v>7</v>
      </c>
    </row>
    <row r="5" spans="1:10" x14ac:dyDescent="0.3">
      <c r="A5" t="s">
        <v>0</v>
      </c>
      <c r="B5">
        <v>3000</v>
      </c>
      <c r="C5">
        <v>5000</v>
      </c>
      <c r="D5">
        <v>10000</v>
      </c>
      <c r="E5">
        <v>12000</v>
      </c>
      <c r="F5">
        <v>12000</v>
      </c>
      <c r="G5">
        <v>8000</v>
      </c>
      <c r="H5">
        <v>4800</v>
      </c>
    </row>
    <row r="6" spans="1:10" x14ac:dyDescent="0.3">
      <c r="A6" t="s">
        <v>2</v>
      </c>
      <c r="B6" s="2">
        <v>190</v>
      </c>
      <c r="C6" s="2">
        <v>195</v>
      </c>
      <c r="D6" s="2">
        <v>210</v>
      </c>
      <c r="E6" s="2">
        <v>210</v>
      </c>
      <c r="F6" s="2">
        <v>210</v>
      </c>
      <c r="G6" s="2">
        <v>185</v>
      </c>
      <c r="H6" s="2">
        <v>170</v>
      </c>
    </row>
    <row r="7" spans="1:10" x14ac:dyDescent="0.3">
      <c r="A7" t="s">
        <v>3</v>
      </c>
      <c r="B7" s="2">
        <v>130</v>
      </c>
      <c r="C7" s="2">
        <f>B7</f>
        <v>130</v>
      </c>
      <c r="D7" s="2">
        <f t="shared" ref="D7:H7" si="0">C7</f>
        <v>130</v>
      </c>
      <c r="E7" s="2">
        <f t="shared" si="0"/>
        <v>130</v>
      </c>
      <c r="F7" s="2">
        <f t="shared" si="0"/>
        <v>130</v>
      </c>
      <c r="G7" s="2">
        <f t="shared" si="0"/>
        <v>130</v>
      </c>
      <c r="H7" s="2">
        <f t="shared" si="0"/>
        <v>130</v>
      </c>
    </row>
    <row r="8" spans="1:10" x14ac:dyDescent="0.3">
      <c r="A8" t="s">
        <v>4</v>
      </c>
      <c r="B8" s="2">
        <v>120000</v>
      </c>
      <c r="C8" s="2">
        <f>B8</f>
        <v>120000</v>
      </c>
      <c r="D8" s="2">
        <f t="shared" ref="D8:H8" si="1">C8</f>
        <v>120000</v>
      </c>
      <c r="E8" s="2">
        <f t="shared" si="1"/>
        <v>120000</v>
      </c>
      <c r="F8" s="2">
        <f t="shared" si="1"/>
        <v>120000</v>
      </c>
      <c r="G8" s="2">
        <f t="shared" si="1"/>
        <v>120000</v>
      </c>
      <c r="H8" s="2">
        <f t="shared" si="1"/>
        <v>120000</v>
      </c>
    </row>
    <row r="12" spans="1:10" x14ac:dyDescent="0.3">
      <c r="A12" s="3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5">
        <v>7</v>
      </c>
    </row>
    <row r="13" spans="1:10" x14ac:dyDescent="0.3">
      <c r="A13" s="3" t="s">
        <v>5</v>
      </c>
      <c r="B13" s="28">
        <f>B5*B6</f>
        <v>570000</v>
      </c>
      <c r="C13" s="28">
        <f t="shared" ref="C13:H13" si="2">C5*C6</f>
        <v>975000</v>
      </c>
      <c r="D13" s="28">
        <f t="shared" si="2"/>
        <v>2100000</v>
      </c>
      <c r="E13" s="28">
        <f t="shared" si="2"/>
        <v>2520000</v>
      </c>
      <c r="F13" s="28">
        <f t="shared" si="2"/>
        <v>2520000</v>
      </c>
      <c r="G13" s="28">
        <f t="shared" si="2"/>
        <v>1480000</v>
      </c>
      <c r="H13" s="28">
        <f t="shared" si="2"/>
        <v>816000</v>
      </c>
      <c r="J13">
        <v>0.25</v>
      </c>
    </row>
    <row r="14" spans="1:10" x14ac:dyDescent="0.3">
      <c r="A14" s="3" t="s">
        <v>6</v>
      </c>
      <c r="B14" s="28">
        <f>B5*B7</f>
        <v>390000</v>
      </c>
      <c r="C14" s="28">
        <f t="shared" ref="C14:H14" si="3">C5*C7</f>
        <v>650000</v>
      </c>
      <c r="D14" s="28">
        <f t="shared" si="3"/>
        <v>1300000</v>
      </c>
      <c r="E14" s="28">
        <f t="shared" si="3"/>
        <v>1560000</v>
      </c>
      <c r="F14" s="28">
        <f t="shared" si="3"/>
        <v>1560000</v>
      </c>
      <c r="G14" s="28">
        <f t="shared" si="3"/>
        <v>1040000</v>
      </c>
      <c r="H14" s="28">
        <f t="shared" si="3"/>
        <v>624000</v>
      </c>
      <c r="J14">
        <v>0.25</v>
      </c>
    </row>
    <row r="15" spans="1:10" x14ac:dyDescent="0.3">
      <c r="A15" s="3" t="s">
        <v>7</v>
      </c>
      <c r="B15" s="28">
        <f>B8</f>
        <v>120000</v>
      </c>
      <c r="C15" s="28">
        <f t="shared" ref="C15:H15" si="4">C8</f>
        <v>120000</v>
      </c>
      <c r="D15" s="28">
        <f t="shared" si="4"/>
        <v>120000</v>
      </c>
      <c r="E15" s="28">
        <f t="shared" si="4"/>
        <v>120000</v>
      </c>
      <c r="F15" s="28">
        <f t="shared" si="4"/>
        <v>120000</v>
      </c>
      <c r="G15" s="28">
        <f t="shared" si="4"/>
        <v>120000</v>
      </c>
      <c r="H15" s="28">
        <f t="shared" si="4"/>
        <v>120000</v>
      </c>
      <c r="J15">
        <v>0.25</v>
      </c>
    </row>
    <row r="16" spans="1:10" x14ac:dyDescent="0.3">
      <c r="A16" s="3" t="s">
        <v>8</v>
      </c>
      <c r="B16" s="28">
        <f>$D$2</f>
        <v>300000</v>
      </c>
      <c r="C16" s="28">
        <f t="shared" ref="C16:H16" si="5">$D$2</f>
        <v>300000</v>
      </c>
      <c r="D16" s="28">
        <f t="shared" si="5"/>
        <v>300000</v>
      </c>
      <c r="E16" s="28">
        <f t="shared" si="5"/>
        <v>300000</v>
      </c>
      <c r="F16" s="28">
        <f t="shared" si="5"/>
        <v>300000</v>
      </c>
      <c r="G16" s="28">
        <f t="shared" si="5"/>
        <v>300000</v>
      </c>
      <c r="H16" s="28">
        <f t="shared" si="5"/>
        <v>300000</v>
      </c>
      <c r="J16">
        <v>0.5</v>
      </c>
    </row>
    <row r="17" spans="1:13" x14ac:dyDescent="0.3">
      <c r="A17" s="3" t="s">
        <v>9</v>
      </c>
      <c r="B17" s="28">
        <f>B13-B14-B15-B16</f>
        <v>-240000</v>
      </c>
      <c r="C17" s="28">
        <f t="shared" ref="C17:H17" si="6">C13-C14-C15-C16</f>
        <v>-95000</v>
      </c>
      <c r="D17" s="28">
        <f t="shared" si="6"/>
        <v>380000</v>
      </c>
      <c r="E17" s="28">
        <f t="shared" si="6"/>
        <v>540000</v>
      </c>
      <c r="F17" s="28">
        <f t="shared" si="6"/>
        <v>540000</v>
      </c>
      <c r="G17" s="28">
        <f t="shared" si="6"/>
        <v>20000</v>
      </c>
      <c r="H17" s="28">
        <f t="shared" si="6"/>
        <v>-228000</v>
      </c>
    </row>
    <row r="18" spans="1:13" x14ac:dyDescent="0.3">
      <c r="A18" s="3" t="s">
        <v>10</v>
      </c>
      <c r="B18" s="28">
        <f>B17*0.25</f>
        <v>-60000</v>
      </c>
      <c r="C18" s="28">
        <f>C17*0.25</f>
        <v>-23750</v>
      </c>
      <c r="D18" s="28"/>
      <c r="E18" s="28"/>
      <c r="F18" s="28"/>
      <c r="G18" s="28"/>
      <c r="H18" s="28">
        <f>H17*0.25</f>
        <v>-57000</v>
      </c>
      <c r="J18">
        <v>1</v>
      </c>
    </row>
    <row r="19" spans="1:13" x14ac:dyDescent="0.3">
      <c r="A19" s="3" t="s">
        <v>11</v>
      </c>
      <c r="B19" s="28"/>
      <c r="C19" s="28"/>
      <c r="D19" s="28">
        <f>D17*0.25</f>
        <v>95000</v>
      </c>
      <c r="E19" s="28">
        <f t="shared" ref="E19:F19" si="7">E17*0.25</f>
        <v>135000</v>
      </c>
      <c r="F19" s="28">
        <f t="shared" si="7"/>
        <v>135000</v>
      </c>
      <c r="G19" s="28">
        <f>G17*0.25</f>
        <v>5000</v>
      </c>
      <c r="H19" s="28"/>
      <c r="J19">
        <v>0.5</v>
      </c>
    </row>
    <row r="20" spans="1:13" x14ac:dyDescent="0.3">
      <c r="A20" s="3" t="s">
        <v>12</v>
      </c>
      <c r="B20" s="28">
        <f>B17-B18</f>
        <v>-180000</v>
      </c>
      <c r="C20" s="28">
        <f>C17-C18</f>
        <v>-71250</v>
      </c>
      <c r="D20" s="28">
        <f>D17-D19</f>
        <v>285000</v>
      </c>
      <c r="E20" s="28">
        <f t="shared" ref="E20:F20" si="8">E17-E19</f>
        <v>405000</v>
      </c>
      <c r="F20" s="28">
        <f t="shared" si="8"/>
        <v>405000</v>
      </c>
      <c r="G20" s="28">
        <f>G17-G19</f>
        <v>15000</v>
      </c>
      <c r="H20" s="28">
        <f>H17-H18</f>
        <v>-171000</v>
      </c>
    </row>
    <row r="21" spans="1:13" x14ac:dyDescent="0.3">
      <c r="A21" s="3" t="s">
        <v>13</v>
      </c>
      <c r="B21" s="28">
        <f>B20+B16</f>
        <v>120000</v>
      </c>
      <c r="C21" s="28">
        <f t="shared" ref="C21:H21" si="9">C20+C16</f>
        <v>228750</v>
      </c>
      <c r="D21" s="28">
        <f t="shared" si="9"/>
        <v>585000</v>
      </c>
      <c r="E21" s="28">
        <f t="shared" si="9"/>
        <v>705000</v>
      </c>
      <c r="F21" s="28">
        <f t="shared" si="9"/>
        <v>705000</v>
      </c>
      <c r="G21" s="28">
        <f t="shared" si="9"/>
        <v>315000</v>
      </c>
      <c r="H21" s="28">
        <f t="shared" si="9"/>
        <v>129000</v>
      </c>
      <c r="J21">
        <v>0.5</v>
      </c>
    </row>
    <row r="22" spans="1:13" x14ac:dyDescent="0.3">
      <c r="I22">
        <f>SUM(B21:H21)</f>
        <v>2787750</v>
      </c>
    </row>
    <row r="24" spans="1:13" x14ac:dyDescent="0.3">
      <c r="A24" s="3"/>
      <c r="B24" s="3">
        <v>0</v>
      </c>
      <c r="C24" s="5">
        <v>1</v>
      </c>
      <c r="D24" s="5">
        <v>2</v>
      </c>
      <c r="E24" s="5">
        <v>3</v>
      </c>
      <c r="F24" s="5">
        <v>4</v>
      </c>
      <c r="G24" s="5">
        <v>5</v>
      </c>
      <c r="H24" s="5">
        <v>6</v>
      </c>
      <c r="I24" s="5">
        <v>7</v>
      </c>
    </row>
    <row r="25" spans="1:13" x14ac:dyDescent="0.3">
      <c r="A25" s="31" t="s">
        <v>13</v>
      </c>
      <c r="B25" s="32"/>
      <c r="C25" s="32">
        <f>B21</f>
        <v>120000</v>
      </c>
      <c r="D25" s="32">
        <f t="shared" ref="D25:I25" si="10">C21</f>
        <v>228750</v>
      </c>
      <c r="E25" s="32">
        <f t="shared" si="10"/>
        <v>585000</v>
      </c>
      <c r="F25" s="32">
        <f t="shared" si="10"/>
        <v>705000</v>
      </c>
      <c r="G25" s="32">
        <f t="shared" si="10"/>
        <v>705000</v>
      </c>
      <c r="H25" s="32">
        <f t="shared" si="10"/>
        <v>315000</v>
      </c>
      <c r="I25" s="32">
        <f t="shared" si="10"/>
        <v>129000</v>
      </c>
      <c r="J25">
        <v>0.25</v>
      </c>
    </row>
    <row r="26" spans="1:13" x14ac:dyDescent="0.3">
      <c r="A26" s="31" t="s">
        <v>14</v>
      </c>
      <c r="B26" s="32"/>
      <c r="C26" s="32"/>
      <c r="D26" s="32"/>
      <c r="E26" s="32"/>
      <c r="F26" s="32"/>
      <c r="G26" s="32"/>
      <c r="H26" s="32"/>
      <c r="I26" s="32">
        <f>G2-L32</f>
        <v>1087500</v>
      </c>
      <c r="J26">
        <v>1.5</v>
      </c>
      <c r="L26">
        <v>3000000</v>
      </c>
      <c r="M26" t="s">
        <v>59</v>
      </c>
    </row>
    <row r="27" spans="1:13" x14ac:dyDescent="0.3">
      <c r="A27" s="31" t="s">
        <v>16</v>
      </c>
      <c r="B27" s="32"/>
      <c r="C27" s="32"/>
      <c r="D27" s="32"/>
      <c r="E27" s="32"/>
      <c r="F27" s="32"/>
      <c r="G27" s="32"/>
      <c r="H27" s="32"/>
      <c r="I27" s="32">
        <f>B30</f>
        <v>235307.14285714284</v>
      </c>
      <c r="J27">
        <v>0.5</v>
      </c>
      <c r="L27">
        <f>SUM(B16:H16)</f>
        <v>2100000</v>
      </c>
      <c r="M27" t="s">
        <v>60</v>
      </c>
    </row>
    <row r="28" spans="1:13" x14ac:dyDescent="0.3">
      <c r="A28" s="31"/>
      <c r="B28" s="32"/>
      <c r="C28" s="32"/>
      <c r="D28" s="32"/>
      <c r="E28" s="32"/>
      <c r="F28" s="32"/>
      <c r="G28" s="32"/>
      <c r="H28" s="32"/>
      <c r="I28" s="32"/>
      <c r="L28" s="29">
        <f>L26-L27</f>
        <v>900000</v>
      </c>
      <c r="M28" s="29" t="s">
        <v>61</v>
      </c>
    </row>
    <row r="29" spans="1:13" x14ac:dyDescent="0.3">
      <c r="A29" s="3"/>
      <c r="B29" s="28"/>
      <c r="C29" s="28"/>
      <c r="D29" s="28"/>
      <c r="E29" s="28"/>
      <c r="F29" s="28"/>
      <c r="G29" s="28"/>
      <c r="H29" s="28"/>
      <c r="I29" s="28"/>
    </row>
    <row r="30" spans="1:13" x14ac:dyDescent="0.3">
      <c r="A30" s="33" t="s">
        <v>17</v>
      </c>
      <c r="B30" s="34">
        <f>AVERAGE(B13:H13)*0.15</f>
        <v>235307.14285714284</v>
      </c>
      <c r="C30" s="34"/>
      <c r="D30" s="34"/>
      <c r="E30" s="34"/>
      <c r="F30" s="34"/>
      <c r="G30" s="34"/>
      <c r="H30" s="34"/>
      <c r="I30" s="34"/>
      <c r="J30">
        <v>0.5</v>
      </c>
      <c r="L30" s="18">
        <f>G2</f>
        <v>1150000</v>
      </c>
      <c r="M30" s="18" t="s">
        <v>62</v>
      </c>
    </row>
    <row r="31" spans="1:13" x14ac:dyDescent="0.3">
      <c r="A31" s="33" t="s">
        <v>1</v>
      </c>
      <c r="B31" s="34">
        <f>B2</f>
        <v>3000000</v>
      </c>
      <c r="C31" s="34"/>
      <c r="D31" s="34"/>
      <c r="E31" s="34"/>
      <c r="F31" s="34"/>
      <c r="G31" s="34"/>
      <c r="H31" s="34"/>
      <c r="I31" s="34"/>
      <c r="L31">
        <f>L30-L28</f>
        <v>250000</v>
      </c>
      <c r="M31" s="30" t="s">
        <v>63</v>
      </c>
    </row>
    <row r="32" spans="1:13" x14ac:dyDescent="0.3">
      <c r="A32" s="3"/>
      <c r="B32" s="28"/>
      <c r="C32" s="28"/>
      <c r="D32" s="28"/>
      <c r="E32" s="28"/>
      <c r="F32" s="28"/>
      <c r="G32" s="28"/>
      <c r="H32" s="28"/>
      <c r="I32" s="28"/>
      <c r="L32">
        <f>L31*0.25</f>
        <v>62500</v>
      </c>
      <c r="M32" t="s">
        <v>64</v>
      </c>
    </row>
    <row r="33" spans="1:13" x14ac:dyDescent="0.3">
      <c r="A33" s="3" t="s">
        <v>66</v>
      </c>
      <c r="B33" s="28">
        <f>-(B30+B31)</f>
        <v>-3235307.1428571427</v>
      </c>
      <c r="C33" s="28">
        <f>SUM(C25:C27)</f>
        <v>120000</v>
      </c>
      <c r="D33" s="28">
        <f t="shared" ref="D33:I33" si="11">SUM(D25:D27)</f>
        <v>228750</v>
      </c>
      <c r="E33" s="28">
        <f t="shared" si="11"/>
        <v>585000</v>
      </c>
      <c r="F33" s="28">
        <f t="shared" si="11"/>
        <v>705000</v>
      </c>
      <c r="G33" s="28">
        <f t="shared" si="11"/>
        <v>705000</v>
      </c>
      <c r="H33" s="28">
        <f t="shared" si="11"/>
        <v>315000</v>
      </c>
      <c r="I33" s="28">
        <f t="shared" si="11"/>
        <v>1451807.1428571427</v>
      </c>
    </row>
    <row r="34" spans="1:13" x14ac:dyDescent="0.3">
      <c r="L34">
        <f>L30-L32</f>
        <v>1087500</v>
      </c>
      <c r="M34" t="s">
        <v>65</v>
      </c>
    </row>
    <row r="36" spans="1:13" x14ac:dyDescent="0.3">
      <c r="A36" s="20" t="s">
        <v>19</v>
      </c>
      <c r="B36" s="20"/>
    </row>
    <row r="37" spans="1:13" x14ac:dyDescent="0.3">
      <c r="A37" s="36">
        <v>0.05</v>
      </c>
      <c r="B37" s="20">
        <f>NPV(A37,C33:I33)+B33</f>
        <v>-8972.1668260330334</v>
      </c>
      <c r="J37">
        <v>1</v>
      </c>
    </row>
    <row r="39" spans="1:13" x14ac:dyDescent="0.3">
      <c r="A39" s="18" t="s">
        <v>20</v>
      </c>
      <c r="B39" s="19">
        <f>IRR(B33:I33)</f>
        <v>4.9403348168887806E-2</v>
      </c>
      <c r="D39" s="35">
        <f>IRR(B33:I33)</f>
        <v>4.9403348168887806E-2</v>
      </c>
      <c r="J39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69B80-F77A-4E6D-A587-DD5A9589BA53}">
  <dimension ref="A2:I37"/>
  <sheetViews>
    <sheetView topLeftCell="A28" zoomScale="198" zoomScaleNormal="198" workbookViewId="0">
      <selection activeCell="H10" sqref="H10"/>
    </sheetView>
  </sheetViews>
  <sheetFormatPr baseColWidth="10" defaultRowHeight="14.4" x14ac:dyDescent="0.3"/>
  <cols>
    <col min="1" max="1" width="32.88671875" bestFit="1" customWidth="1"/>
    <col min="2" max="2" width="13" bestFit="1" customWidth="1"/>
    <col min="3" max="6" width="12.88671875" bestFit="1" customWidth="1"/>
  </cols>
  <sheetData>
    <row r="2" spans="1:8" x14ac:dyDescent="0.3">
      <c r="A2" s="3" t="s">
        <v>1</v>
      </c>
      <c r="B2" s="3">
        <v>3000000</v>
      </c>
      <c r="C2" s="3">
        <v>10</v>
      </c>
      <c r="D2" s="3">
        <f>B2/C2</f>
        <v>300000</v>
      </c>
      <c r="E2" s="3"/>
      <c r="F2" s="3" t="s">
        <v>15</v>
      </c>
      <c r="G2" s="3">
        <v>1500000</v>
      </c>
    </row>
    <row r="4" spans="1:8" x14ac:dyDescent="0.3">
      <c r="A4" s="5"/>
      <c r="B4" s="5">
        <v>1</v>
      </c>
      <c r="C4" s="5">
        <v>2</v>
      </c>
      <c r="D4" s="5">
        <v>3</v>
      </c>
      <c r="E4" s="5">
        <v>4</v>
      </c>
      <c r="F4" s="5">
        <v>5</v>
      </c>
    </row>
    <row r="5" spans="1:8" x14ac:dyDescent="0.3">
      <c r="A5" s="5" t="s">
        <v>0</v>
      </c>
      <c r="B5" s="5">
        <v>3000</v>
      </c>
      <c r="C5" s="5">
        <v>5000</v>
      </c>
      <c r="D5" s="5">
        <v>10000</v>
      </c>
      <c r="E5" s="5">
        <v>12000</v>
      </c>
      <c r="F5" s="5">
        <v>12000</v>
      </c>
      <c r="H5">
        <f>SUM(H24:H38)</f>
        <v>4</v>
      </c>
    </row>
    <row r="6" spans="1:8" x14ac:dyDescent="0.3">
      <c r="A6" s="5" t="s">
        <v>2</v>
      </c>
      <c r="B6" s="21">
        <v>190</v>
      </c>
      <c r="C6" s="21">
        <v>195</v>
      </c>
      <c r="D6" s="21">
        <v>210</v>
      </c>
      <c r="E6" s="21">
        <v>210</v>
      </c>
      <c r="F6" s="21">
        <v>210</v>
      </c>
    </row>
    <row r="7" spans="1:8" x14ac:dyDescent="0.3">
      <c r="A7" s="5" t="s">
        <v>3</v>
      </c>
      <c r="B7" s="21">
        <v>130</v>
      </c>
      <c r="C7" s="21">
        <f>B7</f>
        <v>130</v>
      </c>
      <c r="D7" s="21">
        <f t="shared" ref="D7:F8" si="0">C7</f>
        <v>130</v>
      </c>
      <c r="E7" s="21">
        <f t="shared" si="0"/>
        <v>130</v>
      </c>
      <c r="F7" s="21">
        <f t="shared" si="0"/>
        <v>130</v>
      </c>
    </row>
    <row r="8" spans="1:8" x14ac:dyDescent="0.3">
      <c r="A8" s="5" t="s">
        <v>4</v>
      </c>
      <c r="B8" s="21">
        <v>120000</v>
      </c>
      <c r="C8" s="21">
        <f>B8</f>
        <v>120000</v>
      </c>
      <c r="D8" s="21">
        <f t="shared" si="0"/>
        <v>120000</v>
      </c>
      <c r="E8" s="21">
        <f t="shared" si="0"/>
        <v>120000</v>
      </c>
      <c r="F8" s="21">
        <f t="shared" si="0"/>
        <v>120000</v>
      </c>
    </row>
    <row r="12" spans="1:8" x14ac:dyDescent="0.3">
      <c r="A12" s="3"/>
      <c r="B12" s="5">
        <v>1</v>
      </c>
      <c r="C12" s="5">
        <v>2</v>
      </c>
      <c r="D12" s="5">
        <v>3</v>
      </c>
      <c r="E12" s="5">
        <v>4</v>
      </c>
      <c r="F12" s="5">
        <v>5</v>
      </c>
    </row>
    <row r="13" spans="1:8" x14ac:dyDescent="0.3">
      <c r="A13" s="3" t="s">
        <v>5</v>
      </c>
      <c r="B13" s="3">
        <f>B5*B6</f>
        <v>570000</v>
      </c>
      <c r="C13" s="3">
        <f t="shared" ref="C13:F13" si="1">C5*C6</f>
        <v>975000</v>
      </c>
      <c r="D13" s="3">
        <f t="shared" si="1"/>
        <v>2100000</v>
      </c>
      <c r="E13" s="3">
        <f t="shared" si="1"/>
        <v>2520000</v>
      </c>
      <c r="F13" s="3">
        <f t="shared" si="1"/>
        <v>2520000</v>
      </c>
    </row>
    <row r="14" spans="1:8" x14ac:dyDescent="0.3">
      <c r="A14" s="3" t="s">
        <v>6</v>
      </c>
      <c r="B14" s="3">
        <f>B5*B7</f>
        <v>390000</v>
      </c>
      <c r="C14" s="3">
        <f t="shared" ref="C14:F14" si="2">C5*C7</f>
        <v>650000</v>
      </c>
      <c r="D14" s="3">
        <f t="shared" si="2"/>
        <v>1300000</v>
      </c>
      <c r="E14" s="3">
        <f t="shared" si="2"/>
        <v>1560000</v>
      </c>
      <c r="F14" s="3">
        <f t="shared" si="2"/>
        <v>1560000</v>
      </c>
    </row>
    <row r="15" spans="1:8" x14ac:dyDescent="0.3">
      <c r="A15" s="3" t="s">
        <v>7</v>
      </c>
      <c r="B15" s="3">
        <f>B8</f>
        <v>120000</v>
      </c>
      <c r="C15" s="3">
        <f t="shared" ref="C15:F15" si="3">C8</f>
        <v>120000</v>
      </c>
      <c r="D15" s="3">
        <f t="shared" si="3"/>
        <v>120000</v>
      </c>
      <c r="E15" s="3">
        <f t="shared" si="3"/>
        <v>120000</v>
      </c>
      <c r="F15" s="3">
        <f t="shared" si="3"/>
        <v>120000</v>
      </c>
    </row>
    <row r="16" spans="1:8" x14ac:dyDescent="0.3">
      <c r="A16" s="3" t="s">
        <v>8</v>
      </c>
      <c r="B16" s="3">
        <f>$D$2</f>
        <v>300000</v>
      </c>
      <c r="C16" s="3">
        <f t="shared" ref="C16:F16" si="4">$D$2</f>
        <v>300000</v>
      </c>
      <c r="D16" s="3">
        <f t="shared" si="4"/>
        <v>300000</v>
      </c>
      <c r="E16" s="3">
        <f t="shared" si="4"/>
        <v>300000</v>
      </c>
      <c r="F16" s="3">
        <f t="shared" si="4"/>
        <v>300000</v>
      </c>
    </row>
    <row r="17" spans="1:9" x14ac:dyDescent="0.3">
      <c r="A17" s="3" t="s">
        <v>9</v>
      </c>
      <c r="B17" s="3">
        <f>B13-B14-B15-B16</f>
        <v>-240000</v>
      </c>
      <c r="C17" s="3">
        <f t="shared" ref="C17:F17" si="5">C13-C14-C15-C16</f>
        <v>-95000</v>
      </c>
      <c r="D17" s="3">
        <f t="shared" si="5"/>
        <v>380000</v>
      </c>
      <c r="E17" s="3">
        <f t="shared" si="5"/>
        <v>540000</v>
      </c>
      <c r="F17" s="3">
        <f t="shared" si="5"/>
        <v>540000</v>
      </c>
    </row>
    <row r="18" spans="1:9" x14ac:dyDescent="0.3">
      <c r="A18" s="3" t="s">
        <v>10</v>
      </c>
      <c r="B18" s="3">
        <f>B17*0.25</f>
        <v>-60000</v>
      </c>
      <c r="C18" s="3">
        <f>C17*0.25</f>
        <v>-23750</v>
      </c>
      <c r="D18" s="3"/>
      <c r="E18" s="3"/>
      <c r="F18" s="3"/>
    </row>
    <row r="19" spans="1:9" x14ac:dyDescent="0.3">
      <c r="A19" s="3" t="s">
        <v>11</v>
      </c>
      <c r="B19" s="3"/>
      <c r="C19" s="3"/>
      <c r="D19" s="3">
        <f>D17*0.25</f>
        <v>95000</v>
      </c>
      <c r="E19" s="3">
        <f t="shared" ref="E19:F19" si="6">E17*0.25</f>
        <v>135000</v>
      </c>
      <c r="F19" s="3">
        <f t="shared" si="6"/>
        <v>135000</v>
      </c>
    </row>
    <row r="20" spans="1:9" x14ac:dyDescent="0.3">
      <c r="A20" s="3" t="s">
        <v>12</v>
      </c>
      <c r="B20" s="3">
        <f>B17-B18</f>
        <v>-180000</v>
      </c>
      <c r="C20" s="3">
        <f>C17-C18</f>
        <v>-71250</v>
      </c>
      <c r="D20" s="3">
        <f>D17-D19</f>
        <v>285000</v>
      </c>
      <c r="E20" s="3">
        <f t="shared" ref="E20:F20" si="7">E17-E19</f>
        <v>405000</v>
      </c>
      <c r="F20" s="3">
        <f t="shared" si="7"/>
        <v>405000</v>
      </c>
    </row>
    <row r="21" spans="1:9" x14ac:dyDescent="0.3">
      <c r="A21" s="3" t="s">
        <v>13</v>
      </c>
      <c r="B21" s="3">
        <f>B20+B16</f>
        <v>120000</v>
      </c>
      <c r="C21" s="3">
        <f t="shared" ref="C21:F21" si="8">C20+C16</f>
        <v>228750</v>
      </c>
      <c r="D21" s="3">
        <f t="shared" si="8"/>
        <v>585000</v>
      </c>
      <c r="E21" s="3">
        <f t="shared" si="8"/>
        <v>705000</v>
      </c>
      <c r="F21" s="3">
        <f t="shared" si="8"/>
        <v>705000</v>
      </c>
    </row>
    <row r="24" spans="1:9" x14ac:dyDescent="0.3">
      <c r="B24" s="3">
        <v>0</v>
      </c>
      <c r="C24" s="5">
        <v>1</v>
      </c>
      <c r="D24" s="5">
        <v>2</v>
      </c>
      <c r="E24" s="5">
        <v>3</v>
      </c>
      <c r="F24" s="5">
        <v>4</v>
      </c>
      <c r="G24" s="5">
        <v>5</v>
      </c>
      <c r="I24">
        <v>3000000</v>
      </c>
    </row>
    <row r="25" spans="1:9" x14ac:dyDescent="0.3">
      <c r="A25" t="s">
        <v>13</v>
      </c>
      <c r="B25" s="3"/>
      <c r="C25" s="3">
        <f>B21</f>
        <v>120000</v>
      </c>
      <c r="D25" s="3">
        <f t="shared" ref="D25:G25" si="9">C21</f>
        <v>228750</v>
      </c>
      <c r="E25" s="3">
        <f t="shared" si="9"/>
        <v>585000</v>
      </c>
      <c r="F25" s="3">
        <f t="shared" si="9"/>
        <v>705000</v>
      </c>
      <c r="G25" s="3">
        <f t="shared" si="9"/>
        <v>705000</v>
      </c>
      <c r="I25">
        <f>SUM(B16:H16)</f>
        <v>1500000</v>
      </c>
    </row>
    <row r="26" spans="1:9" x14ac:dyDescent="0.3">
      <c r="A26" t="s">
        <v>14</v>
      </c>
      <c r="B26" s="3"/>
      <c r="C26" s="3"/>
      <c r="D26" s="3"/>
      <c r="E26" s="3"/>
      <c r="F26" s="3"/>
      <c r="G26" s="3">
        <f>G2-I30</f>
        <v>1500000</v>
      </c>
      <c r="H26">
        <v>2</v>
      </c>
      <c r="I26">
        <f>I24-I25</f>
        <v>1500000</v>
      </c>
    </row>
    <row r="27" spans="1:9" x14ac:dyDescent="0.3">
      <c r="A27" t="s">
        <v>16</v>
      </c>
      <c r="B27" s="3"/>
      <c r="C27" s="3"/>
      <c r="D27" s="3"/>
      <c r="E27" s="3"/>
      <c r="F27" s="3"/>
      <c r="G27" s="3">
        <f>B30</f>
        <v>260550</v>
      </c>
    </row>
    <row r="28" spans="1:9" x14ac:dyDescent="0.3">
      <c r="B28" s="3"/>
      <c r="C28" s="3"/>
      <c r="D28" s="3"/>
      <c r="E28" s="3"/>
      <c r="F28" s="3"/>
      <c r="G28" s="3"/>
      <c r="I28">
        <f>G2</f>
        <v>1500000</v>
      </c>
    </row>
    <row r="29" spans="1:9" x14ac:dyDescent="0.3">
      <c r="B29" s="3"/>
      <c r="C29" s="3"/>
      <c r="D29" s="3"/>
      <c r="E29" s="3"/>
      <c r="F29" s="3"/>
      <c r="G29" s="3"/>
      <c r="I29">
        <f>I28-I26</f>
        <v>0</v>
      </c>
    </row>
    <row r="30" spans="1:9" x14ac:dyDescent="0.3">
      <c r="A30" t="s">
        <v>17</v>
      </c>
      <c r="B30" s="3">
        <f>AVERAGE(B13:H13)*0.15</f>
        <v>260550</v>
      </c>
      <c r="C30" s="3"/>
      <c r="D30" s="3"/>
      <c r="E30" s="3"/>
      <c r="F30" s="3"/>
      <c r="G30" s="3"/>
      <c r="H30">
        <v>1</v>
      </c>
      <c r="I30">
        <f>I29*0.25</f>
        <v>0</v>
      </c>
    </row>
    <row r="31" spans="1:9" x14ac:dyDescent="0.3">
      <c r="A31" t="s">
        <v>1</v>
      </c>
      <c r="B31" s="3">
        <f>B2</f>
        <v>3000000</v>
      </c>
      <c r="C31" s="3"/>
      <c r="D31" s="3"/>
      <c r="E31" s="3"/>
      <c r="F31" s="3"/>
      <c r="G31" s="3"/>
    </row>
    <row r="32" spans="1:9" x14ac:dyDescent="0.3">
      <c r="B32" s="3"/>
      <c r="C32" s="3"/>
      <c r="D32" s="3"/>
      <c r="E32" s="3"/>
      <c r="F32" s="3"/>
      <c r="G32" s="3"/>
    </row>
    <row r="33" spans="1:8" x14ac:dyDescent="0.3">
      <c r="A33" t="s">
        <v>18</v>
      </c>
      <c r="B33" s="3">
        <f>-(B30+B31)</f>
        <v>-3260550</v>
      </c>
      <c r="C33" s="3">
        <f>SUM(C25:C27)</f>
        <v>120000</v>
      </c>
      <c r="D33" s="3">
        <f t="shared" ref="D33:F33" si="10">SUM(D25:D27)</f>
        <v>228750</v>
      </c>
      <c r="E33" s="3">
        <f t="shared" si="10"/>
        <v>585000</v>
      </c>
      <c r="F33" s="3">
        <f t="shared" si="10"/>
        <v>705000</v>
      </c>
      <c r="G33" s="3">
        <f>SUM(G25:G27)</f>
        <v>2465550</v>
      </c>
    </row>
    <row r="36" spans="1:8" x14ac:dyDescent="0.3">
      <c r="A36" s="18" t="s">
        <v>19</v>
      </c>
      <c r="B36" s="18"/>
      <c r="H36">
        <v>1</v>
      </c>
    </row>
    <row r="37" spans="1:8" x14ac:dyDescent="0.3">
      <c r="A37" s="22">
        <v>0.05</v>
      </c>
      <c r="B37" s="20">
        <f>NPV(A37,C33:G33)+B33</f>
        <v>78391.887088492047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1941D-A5CE-4E98-91F2-90DF39B8838C}">
  <dimension ref="A1:J40"/>
  <sheetViews>
    <sheetView tabSelected="1" topLeftCell="A23" zoomScale="179" zoomScaleNormal="179" workbookViewId="0"/>
  </sheetViews>
  <sheetFormatPr baseColWidth="10" defaultRowHeight="14.4" x14ac:dyDescent="0.3"/>
  <cols>
    <col min="1" max="1" width="27.44140625" bestFit="1" customWidth="1"/>
    <col min="2" max="2" width="24.33203125" bestFit="1" customWidth="1"/>
    <col min="3" max="3" width="18.6640625" customWidth="1"/>
    <col min="4" max="4" width="14.6640625" customWidth="1"/>
    <col min="5" max="5" width="15.44140625" customWidth="1"/>
    <col min="10" max="10" width="26.6640625" bestFit="1" customWidth="1"/>
    <col min="12" max="12" width="27.44140625" bestFit="1" customWidth="1"/>
    <col min="14" max="14" width="28.109375" bestFit="1" customWidth="1"/>
  </cols>
  <sheetData>
    <row r="1" spans="1:10" ht="43.2" x14ac:dyDescent="0.3">
      <c r="A1" s="3" t="s">
        <v>48</v>
      </c>
      <c r="B1" s="8">
        <v>500000</v>
      </c>
      <c r="D1" s="14" t="s">
        <v>21</v>
      </c>
      <c r="E1" s="15" t="s">
        <v>49</v>
      </c>
      <c r="F1" s="14" t="s">
        <v>50</v>
      </c>
      <c r="G1" s="15" t="s">
        <v>51</v>
      </c>
      <c r="H1" s="14" t="s">
        <v>52</v>
      </c>
    </row>
    <row r="2" spans="1:10" x14ac:dyDescent="0.3">
      <c r="A2" s="3" t="s">
        <v>53</v>
      </c>
      <c r="B2" s="3">
        <v>5</v>
      </c>
      <c r="D2" s="3">
        <v>1</v>
      </c>
      <c r="E2" s="8">
        <f>B1</f>
        <v>500000</v>
      </c>
      <c r="F2" s="8">
        <f>-IPMT($B$3,D2,$B$2,$B$1)</f>
        <v>30000</v>
      </c>
      <c r="G2" s="16">
        <f>-PPMT($B$3,D2,$B$2,$B$1)</f>
        <v>88698.200215594814</v>
      </c>
      <c r="H2" s="16">
        <f>-PMT($B$3,B2,$B$1)</f>
        <v>118698.2002155948</v>
      </c>
    </row>
    <row r="3" spans="1:10" x14ac:dyDescent="0.3">
      <c r="A3" s="3" t="s">
        <v>54</v>
      </c>
      <c r="B3" s="13">
        <v>0.06</v>
      </c>
      <c r="D3" s="3">
        <v>2</v>
      </c>
      <c r="E3" s="8">
        <f>E2-G2</f>
        <v>411301.79978440516</v>
      </c>
      <c r="F3" s="8">
        <f t="shared" ref="F3:F6" si="0">-IPMT($B$3,D3,$B$2,$B$1)</f>
        <v>24678.107987064308</v>
      </c>
      <c r="G3" s="16">
        <f t="shared" ref="G3:G6" si="1">-PPMT($B$3,D3,$B$2,$B$1)</f>
        <v>94020.092228530499</v>
      </c>
      <c r="H3" s="16">
        <f>-PMT($B$3,5,$B$1)</f>
        <v>118698.2002155948</v>
      </c>
    </row>
    <row r="4" spans="1:10" x14ac:dyDescent="0.3">
      <c r="D4" s="3">
        <v>3</v>
      </c>
      <c r="E4" s="8">
        <f t="shared" ref="E4:E6" si="2">E3-G3</f>
        <v>317281.70755587466</v>
      </c>
      <c r="F4" s="8">
        <f t="shared" si="0"/>
        <v>19036.902453352475</v>
      </c>
      <c r="G4" s="16">
        <f t="shared" si="1"/>
        <v>99661.29776224232</v>
      </c>
      <c r="H4" s="16">
        <f>-PMT($B$3,5,$B$1)</f>
        <v>118698.2002155948</v>
      </c>
      <c r="I4" s="23">
        <v>1</v>
      </c>
      <c r="J4" s="4">
        <f>I4+SUM(H17:H39)</f>
        <v>5</v>
      </c>
    </row>
    <row r="5" spans="1:10" x14ac:dyDescent="0.3">
      <c r="D5" s="3">
        <v>4</v>
      </c>
      <c r="E5" s="8">
        <f t="shared" si="2"/>
        <v>217620.40979363234</v>
      </c>
      <c r="F5" s="8">
        <f t="shared" si="0"/>
        <v>13057.22458761794</v>
      </c>
      <c r="G5" s="16">
        <f t="shared" si="1"/>
        <v>105640.97562797686</v>
      </c>
      <c r="H5" s="16">
        <f>-PMT($B$3,5,$B$1)</f>
        <v>118698.2002155948</v>
      </c>
    </row>
    <row r="6" spans="1:10" x14ac:dyDescent="0.3">
      <c r="D6" s="3">
        <v>5</v>
      </c>
      <c r="E6" s="37">
        <f t="shared" si="2"/>
        <v>111979.43416565548</v>
      </c>
      <c r="F6" s="8">
        <f t="shared" si="0"/>
        <v>6718.7660499393287</v>
      </c>
      <c r="G6" s="38">
        <f t="shared" si="1"/>
        <v>111979.43416565548</v>
      </c>
      <c r="H6" s="16">
        <f>-PMT($B$3,5,$B$1)</f>
        <v>118698.2002155948</v>
      </c>
    </row>
    <row r="8" spans="1:10" x14ac:dyDescent="0.3">
      <c r="B8" s="3" t="s">
        <v>28</v>
      </c>
      <c r="C8" s="8">
        <v>500000</v>
      </c>
    </row>
    <row r="10" spans="1:10" x14ac:dyDescent="0.3">
      <c r="A10" s="6" t="s">
        <v>21</v>
      </c>
      <c r="B10" s="6" t="s">
        <v>22</v>
      </c>
      <c r="C10" s="6" t="s">
        <v>23</v>
      </c>
      <c r="D10" s="6" t="s">
        <v>24</v>
      </c>
      <c r="E10" s="6" t="s">
        <v>25</v>
      </c>
      <c r="F10" s="6" t="s">
        <v>26</v>
      </c>
    </row>
    <row r="11" spans="1:10" x14ac:dyDescent="0.3">
      <c r="A11" s="7" t="s">
        <v>27</v>
      </c>
      <c r="B11" s="3">
        <f>'[1]investissement 1'!B3</f>
        <v>50000</v>
      </c>
      <c r="C11" s="3">
        <f>'[1]investissement 1'!C3</f>
        <v>52500</v>
      </c>
      <c r="D11" s="3">
        <v>55000</v>
      </c>
      <c r="E11" s="3">
        <v>50000</v>
      </c>
      <c r="F11" s="3">
        <v>48000</v>
      </c>
    </row>
    <row r="12" spans="1:10" x14ac:dyDescent="0.3">
      <c r="A12" s="7" t="s">
        <v>29</v>
      </c>
      <c r="B12" s="8">
        <v>12</v>
      </c>
      <c r="C12" s="8">
        <v>13</v>
      </c>
      <c r="D12" s="8">
        <v>13</v>
      </c>
      <c r="E12" s="8">
        <v>10</v>
      </c>
      <c r="F12" s="8">
        <v>10</v>
      </c>
    </row>
    <row r="13" spans="1:10" x14ac:dyDescent="0.3">
      <c r="A13" s="7" t="s">
        <v>30</v>
      </c>
      <c r="B13" s="8">
        <v>9</v>
      </c>
      <c r="C13" s="8">
        <v>10.5</v>
      </c>
      <c r="D13" s="8">
        <v>10</v>
      </c>
      <c r="E13" s="8">
        <v>8</v>
      </c>
      <c r="F13" s="8">
        <v>8</v>
      </c>
    </row>
    <row r="15" spans="1:10" x14ac:dyDescent="0.3">
      <c r="H15" s="17"/>
    </row>
    <row r="16" spans="1:10" x14ac:dyDescent="0.3">
      <c r="A16" s="6" t="s">
        <v>21</v>
      </c>
      <c r="B16" s="6" t="s">
        <v>22</v>
      </c>
      <c r="C16" s="6" t="s">
        <v>23</v>
      </c>
      <c r="D16" s="6" t="s">
        <v>24</v>
      </c>
      <c r="E16" s="6" t="s">
        <v>25</v>
      </c>
      <c r="F16" s="6" t="s">
        <v>26</v>
      </c>
    </row>
    <row r="17" spans="1:10" x14ac:dyDescent="0.3">
      <c r="A17" s="7" t="s">
        <v>5</v>
      </c>
      <c r="B17" s="8">
        <f>B11*B12</f>
        <v>600000</v>
      </c>
      <c r="C17" s="8">
        <f>C11*C12</f>
        <v>682500</v>
      </c>
      <c r="D17" s="8">
        <f>D11*D12</f>
        <v>715000</v>
      </c>
      <c r="E17" s="8">
        <f>E11*E12</f>
        <v>500000</v>
      </c>
      <c r="F17" s="8">
        <f>F11*F12</f>
        <v>480000</v>
      </c>
      <c r="H17" s="27">
        <v>0.25</v>
      </c>
    </row>
    <row r="18" spans="1:10" x14ac:dyDescent="0.3">
      <c r="A18" s="7" t="s">
        <v>31</v>
      </c>
      <c r="B18" s="8">
        <f>B11*B13</f>
        <v>450000</v>
      </c>
      <c r="C18" s="8">
        <f>C11*C13</f>
        <v>551250</v>
      </c>
      <c r="D18" s="8">
        <f>D11*D13</f>
        <v>550000</v>
      </c>
      <c r="E18" s="8">
        <f>E11*E13</f>
        <v>400000</v>
      </c>
      <c r="F18" s="8">
        <f>F11*F13</f>
        <v>384000</v>
      </c>
      <c r="H18" s="27"/>
      <c r="J18">
        <v>500000</v>
      </c>
    </row>
    <row r="19" spans="1:10" x14ac:dyDescent="0.3">
      <c r="A19" s="7" t="s">
        <v>32</v>
      </c>
      <c r="B19" s="8">
        <f>$C$8/8</f>
        <v>62500</v>
      </c>
      <c r="C19" s="8">
        <f>$C$8/8</f>
        <v>62500</v>
      </c>
      <c r="D19" s="8">
        <f>$C$8/8</f>
        <v>62500</v>
      </c>
      <c r="E19" s="8">
        <f>$C$8/8</f>
        <v>62500</v>
      </c>
      <c r="F19" s="8">
        <f>$C$8/8</f>
        <v>62500</v>
      </c>
      <c r="H19" s="27"/>
      <c r="J19" s="11">
        <f>SUM(B19:F19)</f>
        <v>312500</v>
      </c>
    </row>
    <row r="20" spans="1:10" x14ac:dyDescent="0.3">
      <c r="A20" s="41" t="s">
        <v>50</v>
      </c>
      <c r="B20" s="42">
        <f>F2</f>
        <v>30000</v>
      </c>
      <c r="C20" s="42">
        <f>F3</f>
        <v>24678.107987064308</v>
      </c>
      <c r="D20" s="42">
        <f>F4</f>
        <v>19036.902453352475</v>
      </c>
      <c r="E20" s="42">
        <f>F5</f>
        <v>13057.22458761794</v>
      </c>
      <c r="F20" s="42">
        <f>F6</f>
        <v>6718.7660499393287</v>
      </c>
      <c r="H20">
        <v>0.5</v>
      </c>
      <c r="J20" s="11">
        <f>J18-J19</f>
        <v>187500</v>
      </c>
    </row>
    <row r="21" spans="1:10" x14ac:dyDescent="0.3">
      <c r="A21" s="7" t="s">
        <v>33</v>
      </c>
      <c r="B21" s="8">
        <f>B17-B18-B19-B20</f>
        <v>57500</v>
      </c>
      <c r="C21" s="8">
        <f>C17-C18-C19-C20</f>
        <v>44071.892012935692</v>
      </c>
      <c r="D21" s="8">
        <f>D17-D18-D19-D20</f>
        <v>83463.097546647521</v>
      </c>
      <c r="E21" s="8">
        <f>E17-E18-E19-E20</f>
        <v>24442.77541238206</v>
      </c>
      <c r="F21" s="8">
        <f>F17-F18-F19-F20</f>
        <v>26781.233950060672</v>
      </c>
      <c r="H21">
        <v>0.5</v>
      </c>
      <c r="J21">
        <f>190000</f>
        <v>190000</v>
      </c>
    </row>
    <row r="22" spans="1:10" x14ac:dyDescent="0.3">
      <c r="A22" s="7" t="s">
        <v>34</v>
      </c>
      <c r="B22" s="8">
        <f>B21*0.25</f>
        <v>14375</v>
      </c>
      <c r="C22" s="8">
        <f>C21*0.25</f>
        <v>11017.973003233923</v>
      </c>
      <c r="D22" s="8">
        <f>D21*0.25</f>
        <v>20865.77438666188</v>
      </c>
      <c r="E22" s="8">
        <f>E21*0.25</f>
        <v>6110.6938530955149</v>
      </c>
      <c r="F22" s="8">
        <f>F21*0.25</f>
        <v>6695.3084875151681</v>
      </c>
      <c r="J22" s="11">
        <f>J21-J20</f>
        <v>2500</v>
      </c>
    </row>
    <row r="23" spans="1:10" x14ac:dyDescent="0.3">
      <c r="A23" s="7" t="s">
        <v>35</v>
      </c>
      <c r="B23" s="8">
        <f>B21-B22</f>
        <v>43125</v>
      </c>
      <c r="C23" s="8">
        <f>C21-C22</f>
        <v>33053.919009701771</v>
      </c>
      <c r="D23" s="8">
        <f>D21-D22</f>
        <v>62597.323159985637</v>
      </c>
      <c r="E23" s="8">
        <f>E21-E22</f>
        <v>18332.081559286544</v>
      </c>
      <c r="F23" s="8">
        <f>F21-F22</f>
        <v>20085.925462545503</v>
      </c>
      <c r="J23" s="11">
        <f>J22*0.25</f>
        <v>625</v>
      </c>
    </row>
    <row r="24" spans="1:10" x14ac:dyDescent="0.3">
      <c r="A24" s="39" t="s">
        <v>13</v>
      </c>
      <c r="B24" s="40">
        <f>B23+B19</f>
        <v>105625</v>
      </c>
      <c r="C24" s="40">
        <f>C23+C19</f>
        <v>95553.919009701771</v>
      </c>
      <c r="D24" s="40">
        <f>D23+D19</f>
        <v>125097.32315998564</v>
      </c>
      <c r="E24" s="40">
        <f>E23+E19</f>
        <v>80832.08155928654</v>
      </c>
      <c r="F24" s="40">
        <f>F23+F19</f>
        <v>82585.925462545507</v>
      </c>
      <c r="H24">
        <v>0.5</v>
      </c>
      <c r="J24" s="11">
        <f>J21-J23</f>
        <v>189375</v>
      </c>
    </row>
    <row r="26" spans="1:10" x14ac:dyDescent="0.3">
      <c r="A26" s="6" t="s">
        <v>36</v>
      </c>
      <c r="B26" s="6" t="s">
        <v>37</v>
      </c>
      <c r="C26" s="6" t="s">
        <v>22</v>
      </c>
      <c r="D26" s="6" t="s">
        <v>23</v>
      </c>
      <c r="E26" s="6" t="s">
        <v>24</v>
      </c>
      <c r="F26" s="6" t="s">
        <v>25</v>
      </c>
      <c r="G26" s="6" t="s">
        <v>26</v>
      </c>
    </row>
    <row r="27" spans="1:10" x14ac:dyDescent="0.3">
      <c r="A27" s="9" t="s">
        <v>38</v>
      </c>
      <c r="B27" s="24"/>
      <c r="C27" s="25"/>
      <c r="D27" s="25"/>
      <c r="E27" s="25"/>
      <c r="F27" s="25"/>
      <c r="G27" s="26"/>
    </row>
    <row r="28" spans="1:10" x14ac:dyDescent="0.3">
      <c r="A28" s="7" t="s">
        <v>39</v>
      </c>
      <c r="B28" s="10"/>
      <c r="C28" s="8">
        <f>B24</f>
        <v>105625</v>
      </c>
      <c r="D28" s="8">
        <f>C24</f>
        <v>95553.919009701771</v>
      </c>
      <c r="E28" s="8">
        <f>D24</f>
        <v>125097.32315998564</v>
      </c>
      <c r="F28" s="8">
        <f>E24</f>
        <v>80832.08155928654</v>
      </c>
      <c r="G28" s="8">
        <f>F24</f>
        <v>82585.925462545507</v>
      </c>
      <c r="J28" s="11"/>
    </row>
    <row r="29" spans="1:10" x14ac:dyDescent="0.3">
      <c r="A29" s="7" t="s">
        <v>40</v>
      </c>
      <c r="B29" s="10"/>
      <c r="C29" s="8"/>
      <c r="D29" s="8"/>
      <c r="E29" s="8"/>
      <c r="F29" s="8"/>
      <c r="G29" s="8">
        <f>J24</f>
        <v>189375</v>
      </c>
      <c r="H29">
        <v>0.5</v>
      </c>
      <c r="J29" s="11"/>
    </row>
    <row r="30" spans="1:10" x14ac:dyDescent="0.3">
      <c r="A30" s="7" t="s">
        <v>48</v>
      </c>
      <c r="B30" s="10">
        <f>B1</f>
        <v>500000</v>
      </c>
      <c r="C30" s="8"/>
      <c r="D30" s="8"/>
      <c r="E30" s="8"/>
      <c r="F30" s="8"/>
      <c r="G30" s="8"/>
      <c r="H30">
        <v>0.25</v>
      </c>
      <c r="J30" s="11"/>
    </row>
    <row r="31" spans="1:10" x14ac:dyDescent="0.3">
      <c r="A31" s="7" t="s">
        <v>41</v>
      </c>
      <c r="B31" s="10"/>
      <c r="C31" s="8"/>
      <c r="D31" s="8"/>
      <c r="E31" s="8"/>
      <c r="F31" s="8"/>
      <c r="G31" s="8">
        <f>AVERAGE(B17:F17)*0.2</f>
        <v>119100</v>
      </c>
      <c r="H31">
        <v>0.25</v>
      </c>
    </row>
    <row r="32" spans="1:10" x14ac:dyDescent="0.3">
      <c r="A32" s="7" t="s">
        <v>42</v>
      </c>
      <c r="B32" s="10">
        <f t="shared" ref="B32:G32" si="3">SUM(B28:B31)</f>
        <v>500000</v>
      </c>
      <c r="C32" s="10">
        <f t="shared" si="3"/>
        <v>105625</v>
      </c>
      <c r="D32" s="10">
        <f t="shared" si="3"/>
        <v>95553.919009701771</v>
      </c>
      <c r="E32" s="10">
        <f t="shared" si="3"/>
        <v>125097.32315998564</v>
      </c>
      <c r="F32" s="10">
        <f t="shared" si="3"/>
        <v>80832.08155928654</v>
      </c>
      <c r="G32" s="10">
        <f t="shared" si="3"/>
        <v>391060.92546254548</v>
      </c>
    </row>
    <row r="33" spans="1:8" x14ac:dyDescent="0.3">
      <c r="A33" s="9" t="s">
        <v>43</v>
      </c>
      <c r="B33" s="24"/>
      <c r="C33" s="25"/>
      <c r="D33" s="25"/>
      <c r="E33" s="25"/>
      <c r="F33" s="25"/>
      <c r="G33" s="26"/>
    </row>
    <row r="34" spans="1:8" x14ac:dyDescent="0.3">
      <c r="A34" s="7" t="s">
        <v>44</v>
      </c>
      <c r="B34" s="10">
        <f>B1</f>
        <v>500000</v>
      </c>
      <c r="C34" s="8"/>
      <c r="D34" s="8"/>
      <c r="E34" s="8"/>
      <c r="F34" s="8"/>
      <c r="G34" s="8"/>
      <c r="H34">
        <v>0.25</v>
      </c>
    </row>
    <row r="35" spans="1:8" x14ac:dyDescent="0.3">
      <c r="A35" s="7" t="s">
        <v>17</v>
      </c>
      <c r="B35" s="10">
        <f>G31</f>
        <v>119100</v>
      </c>
      <c r="C35" s="8"/>
      <c r="D35" s="8"/>
      <c r="E35" s="8"/>
      <c r="F35" s="8"/>
      <c r="G35" s="8"/>
    </row>
    <row r="36" spans="1:8" x14ac:dyDescent="0.3">
      <c r="A36" s="7" t="s">
        <v>55</v>
      </c>
      <c r="B36" s="10"/>
      <c r="C36" s="10">
        <f>G2</f>
        <v>88698.200215594814</v>
      </c>
      <c r="D36" s="10">
        <f>G3</f>
        <v>94020.092228530499</v>
      </c>
      <c r="E36" s="10">
        <f>G4</f>
        <v>99661.29776224232</v>
      </c>
      <c r="F36" s="10">
        <f>G5</f>
        <v>105640.97562797686</v>
      </c>
      <c r="G36" s="10">
        <f>G6</f>
        <v>111979.43416565548</v>
      </c>
      <c r="H36">
        <v>0.5</v>
      </c>
    </row>
    <row r="37" spans="1:8" x14ac:dyDescent="0.3">
      <c r="A37" s="7" t="s">
        <v>45</v>
      </c>
      <c r="B37" s="10">
        <f t="shared" ref="B37:G37" si="4">SUM(B34:B36)</f>
        <v>619100</v>
      </c>
      <c r="C37" s="10">
        <f t="shared" si="4"/>
        <v>88698.200215594814</v>
      </c>
      <c r="D37" s="10">
        <f t="shared" si="4"/>
        <v>94020.092228530499</v>
      </c>
      <c r="E37" s="10">
        <f t="shared" si="4"/>
        <v>99661.29776224232</v>
      </c>
      <c r="F37" s="10">
        <f t="shared" si="4"/>
        <v>105640.97562797686</v>
      </c>
      <c r="G37" s="10">
        <f t="shared" si="4"/>
        <v>111979.43416565548</v>
      </c>
    </row>
    <row r="38" spans="1:8" x14ac:dyDescent="0.3">
      <c r="A38" s="7" t="s">
        <v>46</v>
      </c>
      <c r="B38" s="10">
        <f t="shared" ref="B38:G38" si="5">B32-B37</f>
        <v>-119100</v>
      </c>
      <c r="C38" s="10">
        <f t="shared" si="5"/>
        <v>16926.799784405186</v>
      </c>
      <c r="D38" s="10">
        <f t="shared" si="5"/>
        <v>1533.8267811712722</v>
      </c>
      <c r="E38" s="10">
        <f t="shared" si="5"/>
        <v>25436.025397743317</v>
      </c>
      <c r="F38" s="10">
        <f t="shared" si="5"/>
        <v>-24808.894068690322</v>
      </c>
      <c r="G38" s="10">
        <f t="shared" si="5"/>
        <v>279081.49129689002</v>
      </c>
    </row>
    <row r="39" spans="1:8" x14ac:dyDescent="0.3">
      <c r="A39" s="7" t="s">
        <v>19</v>
      </c>
      <c r="B39" s="12">
        <f>NPV(B40,C38:G38)+B38</f>
        <v>50967.614731495705</v>
      </c>
      <c r="H39">
        <v>0.5</v>
      </c>
    </row>
    <row r="40" spans="1:8" x14ac:dyDescent="0.3">
      <c r="A40" s="3" t="s">
        <v>47</v>
      </c>
      <c r="B40" s="13">
        <v>0.13</v>
      </c>
    </row>
  </sheetData>
  <mergeCells count="3">
    <mergeCell ref="B27:G27"/>
    <mergeCell ref="B33:G33"/>
    <mergeCell ref="H17:H1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4FCD3-D2D6-4E1B-96B9-2F1B02F01F3A}">
  <dimension ref="A2:H24"/>
  <sheetViews>
    <sheetView workbookViewId="0">
      <selection activeCell="E29" sqref="E29"/>
    </sheetView>
  </sheetViews>
  <sheetFormatPr baseColWidth="10" defaultRowHeight="14.4" x14ac:dyDescent="0.3"/>
  <cols>
    <col min="1" max="1" width="33.6640625" customWidth="1"/>
    <col min="2" max="7" width="17.6640625" customWidth="1"/>
  </cols>
  <sheetData>
    <row r="2" spans="1:8" x14ac:dyDescent="0.3">
      <c r="H2">
        <f>SUM(H4:H23)</f>
        <v>3</v>
      </c>
    </row>
    <row r="3" spans="1:8" x14ac:dyDescent="0.3">
      <c r="A3" s="6" t="s">
        <v>21</v>
      </c>
      <c r="B3" s="6" t="s">
        <v>22</v>
      </c>
      <c r="C3" s="6" t="s">
        <v>23</v>
      </c>
      <c r="D3" s="6" t="s">
        <v>24</v>
      </c>
      <c r="E3" s="6" t="s">
        <v>25</v>
      </c>
      <c r="F3" s="6" t="s">
        <v>26</v>
      </c>
    </row>
    <row r="4" spans="1:8" x14ac:dyDescent="0.3">
      <c r="A4" s="7" t="s">
        <v>5</v>
      </c>
      <c r="B4" s="8">
        <f>'Financement empruny'!B17</f>
        <v>600000</v>
      </c>
      <c r="C4" s="8">
        <f>'Financement empruny'!C17</f>
        <v>682500</v>
      </c>
      <c r="D4" s="8">
        <f>'Financement empruny'!D17</f>
        <v>715000</v>
      </c>
      <c r="E4" s="8">
        <f>'Financement empruny'!E17</f>
        <v>500000</v>
      </c>
      <c r="F4" s="8">
        <f>'Financement empruny'!F17</f>
        <v>480000</v>
      </c>
      <c r="H4">
        <v>0.25</v>
      </c>
    </row>
    <row r="5" spans="1:8" x14ac:dyDescent="0.3">
      <c r="A5" s="7" t="s">
        <v>31</v>
      </c>
      <c r="B5" s="8">
        <f>'Financement empruny'!B18</f>
        <v>450000</v>
      </c>
      <c r="C5" s="8">
        <f>'Financement empruny'!C18</f>
        <v>551250</v>
      </c>
      <c r="D5" s="8">
        <f>'Financement empruny'!D18</f>
        <v>550000</v>
      </c>
      <c r="E5" s="8">
        <f>'Financement empruny'!E18</f>
        <v>400000</v>
      </c>
      <c r="F5" s="8">
        <f>'Financement empruny'!F18</f>
        <v>384000</v>
      </c>
      <c r="H5">
        <v>0.25</v>
      </c>
    </row>
    <row r="6" spans="1:8" x14ac:dyDescent="0.3">
      <c r="A6" s="7" t="s">
        <v>56</v>
      </c>
      <c r="B6" s="8">
        <f>8000*12</f>
        <v>96000</v>
      </c>
      <c r="C6" s="8">
        <f>B6</f>
        <v>96000</v>
      </c>
      <c r="D6" s="8">
        <f>C6</f>
        <v>96000</v>
      </c>
      <c r="E6" s="8">
        <f>D6</f>
        <v>96000</v>
      </c>
      <c r="F6" s="8">
        <f>E6</f>
        <v>96000</v>
      </c>
      <c r="H6">
        <v>0.25</v>
      </c>
    </row>
    <row r="7" spans="1:8" x14ac:dyDescent="0.3">
      <c r="A7" s="7" t="s">
        <v>33</v>
      </c>
      <c r="B7" s="8">
        <f>B4-B5-B6</f>
        <v>54000</v>
      </c>
      <c r="C7" s="8">
        <f>C4-C5-C6</f>
        <v>35250</v>
      </c>
      <c r="D7" s="8">
        <f>D4-D5-D6</f>
        <v>69000</v>
      </c>
      <c r="E7" s="8">
        <f>E4-E5-E6</f>
        <v>4000</v>
      </c>
      <c r="F7" s="8">
        <f>F4-F5-F6</f>
        <v>0</v>
      </c>
    </row>
    <row r="8" spans="1:8" x14ac:dyDescent="0.3">
      <c r="A8" s="7" t="s">
        <v>34</v>
      </c>
      <c r="B8" s="8">
        <f>B7*0.25</f>
        <v>13500</v>
      </c>
      <c r="C8" s="8">
        <f>C7*0.25</f>
        <v>8812.5</v>
      </c>
      <c r="D8" s="8">
        <f>D7*0.25</f>
        <v>17250</v>
      </c>
      <c r="E8" s="8">
        <f>E7*0.25</f>
        <v>1000</v>
      </c>
      <c r="F8" s="8">
        <f>F7*0.25</f>
        <v>0</v>
      </c>
    </row>
    <row r="9" spans="1:8" x14ac:dyDescent="0.3">
      <c r="A9" s="7" t="s">
        <v>35</v>
      </c>
      <c r="B9" s="8">
        <f>B7-B8</f>
        <v>40500</v>
      </c>
      <c r="C9" s="8">
        <f>C7-C8</f>
        <v>26437.5</v>
      </c>
      <c r="D9" s="8">
        <f>D7-D8</f>
        <v>51750</v>
      </c>
      <c r="E9" s="8">
        <f>E7-E8</f>
        <v>3000</v>
      </c>
      <c r="F9" s="8">
        <f>F7-F8</f>
        <v>0</v>
      </c>
    </row>
    <row r="10" spans="1:8" x14ac:dyDescent="0.3">
      <c r="A10" s="7" t="s">
        <v>13</v>
      </c>
      <c r="B10" s="8">
        <f>B9</f>
        <v>40500</v>
      </c>
      <c r="C10" s="8">
        <f>C9</f>
        <v>26437.5</v>
      </c>
      <c r="D10" s="8">
        <f>D9</f>
        <v>51750</v>
      </c>
      <c r="E10" s="8">
        <f>E9</f>
        <v>3000</v>
      </c>
      <c r="F10" s="8">
        <f>F9</f>
        <v>0</v>
      </c>
      <c r="H10">
        <v>0.25</v>
      </c>
    </row>
    <row r="12" spans="1:8" x14ac:dyDescent="0.3">
      <c r="A12" s="6" t="s">
        <v>36</v>
      </c>
      <c r="B12" s="6" t="s">
        <v>37</v>
      </c>
      <c r="C12" s="6" t="s">
        <v>22</v>
      </c>
      <c r="D12" s="6" t="s">
        <v>23</v>
      </c>
      <c r="E12" s="6" t="s">
        <v>24</v>
      </c>
      <c r="F12" s="6" t="s">
        <v>25</v>
      </c>
      <c r="G12" s="6" t="s">
        <v>26</v>
      </c>
    </row>
    <row r="13" spans="1:8" x14ac:dyDescent="0.3">
      <c r="A13" s="9" t="s">
        <v>38</v>
      </c>
      <c r="B13" s="24"/>
      <c r="C13" s="25"/>
      <c r="D13" s="25"/>
      <c r="E13" s="25"/>
      <c r="F13" s="25"/>
      <c r="G13" s="26"/>
    </row>
    <row r="14" spans="1:8" x14ac:dyDescent="0.3">
      <c r="A14" s="7" t="s">
        <v>39</v>
      </c>
      <c r="B14" s="10"/>
      <c r="C14" s="8">
        <f>B10</f>
        <v>40500</v>
      </c>
      <c r="D14" s="8">
        <f>C10</f>
        <v>26437.5</v>
      </c>
      <c r="E14" s="8">
        <f>D10</f>
        <v>51750</v>
      </c>
      <c r="F14" s="8">
        <f>E10</f>
        <v>3000</v>
      </c>
      <c r="G14" s="8">
        <f>F10</f>
        <v>0</v>
      </c>
    </row>
    <row r="15" spans="1:8" x14ac:dyDescent="0.3">
      <c r="A15" s="7" t="s">
        <v>41</v>
      </c>
      <c r="B15" s="10"/>
      <c r="C15" s="8"/>
      <c r="D15" s="8"/>
      <c r="E15" s="8"/>
      <c r="F15" s="8"/>
      <c r="G15" s="8">
        <f>((B4+C4+D4+E4+F4)/5)*0.2</f>
        <v>119100</v>
      </c>
    </row>
    <row r="16" spans="1:8" x14ac:dyDescent="0.3">
      <c r="A16" s="7" t="s">
        <v>57</v>
      </c>
      <c r="B16" s="10"/>
      <c r="C16" s="8"/>
      <c r="D16" s="8"/>
      <c r="E16" s="8"/>
      <c r="F16" s="8"/>
      <c r="G16" s="8">
        <f>B20</f>
        <v>50000</v>
      </c>
      <c r="H16">
        <v>0.5</v>
      </c>
    </row>
    <row r="17" spans="1:8" x14ac:dyDescent="0.3">
      <c r="A17" s="7" t="s">
        <v>42</v>
      </c>
      <c r="B17" s="10">
        <f t="shared" ref="B17:G17" si="0">SUM(B14:B16)</f>
        <v>0</v>
      </c>
      <c r="C17" s="10">
        <f t="shared" si="0"/>
        <v>40500</v>
      </c>
      <c r="D17" s="10">
        <f t="shared" si="0"/>
        <v>26437.5</v>
      </c>
      <c r="E17" s="10">
        <f t="shared" si="0"/>
        <v>51750</v>
      </c>
      <c r="F17" s="10">
        <f t="shared" si="0"/>
        <v>3000</v>
      </c>
      <c r="G17" s="10">
        <f t="shared" si="0"/>
        <v>169100</v>
      </c>
    </row>
    <row r="18" spans="1:8" x14ac:dyDescent="0.3">
      <c r="A18" s="9" t="s">
        <v>43</v>
      </c>
      <c r="B18" s="24"/>
      <c r="C18" s="25"/>
      <c r="D18" s="25"/>
      <c r="E18" s="25"/>
      <c r="F18" s="25"/>
      <c r="G18" s="26"/>
    </row>
    <row r="19" spans="1:8" x14ac:dyDescent="0.3">
      <c r="A19" s="7" t="s">
        <v>17</v>
      </c>
      <c r="B19" s="10">
        <f>G15</f>
        <v>119100</v>
      </c>
      <c r="C19" s="8"/>
      <c r="D19" s="8"/>
      <c r="E19" s="8"/>
      <c r="F19" s="8"/>
      <c r="G19" s="8"/>
      <c r="H19">
        <v>0.5</v>
      </c>
    </row>
    <row r="20" spans="1:8" x14ac:dyDescent="0.3">
      <c r="A20" s="7" t="s">
        <v>58</v>
      </c>
      <c r="B20" s="10">
        <f>500000*0.1</f>
        <v>50000</v>
      </c>
      <c r="C20" s="8"/>
      <c r="D20" s="8"/>
      <c r="E20" s="8"/>
      <c r="F20" s="8"/>
      <c r="G20" s="8"/>
      <c r="H20">
        <v>0.5</v>
      </c>
    </row>
    <row r="21" spans="1:8" x14ac:dyDescent="0.3">
      <c r="A21" s="7" t="s">
        <v>45</v>
      </c>
      <c r="B21" s="10">
        <f t="shared" ref="B21:G21" si="1">SUM(B19:B20)</f>
        <v>169100</v>
      </c>
      <c r="C21" s="10">
        <f t="shared" si="1"/>
        <v>0</v>
      </c>
      <c r="D21" s="10">
        <f t="shared" si="1"/>
        <v>0</v>
      </c>
      <c r="E21" s="10">
        <f t="shared" si="1"/>
        <v>0</v>
      </c>
      <c r="F21" s="10">
        <f t="shared" si="1"/>
        <v>0</v>
      </c>
      <c r="G21" s="10">
        <f t="shared" si="1"/>
        <v>0</v>
      </c>
    </row>
    <row r="22" spans="1:8" x14ac:dyDescent="0.3">
      <c r="A22" s="7" t="s">
        <v>46</v>
      </c>
      <c r="B22" s="10">
        <f t="shared" ref="B22:G22" si="2">B17-B21</f>
        <v>-169100</v>
      </c>
      <c r="C22" s="10">
        <f t="shared" si="2"/>
        <v>40500</v>
      </c>
      <c r="D22" s="10">
        <f t="shared" si="2"/>
        <v>26437.5</v>
      </c>
      <c r="E22" s="10">
        <f t="shared" si="2"/>
        <v>51750</v>
      </c>
      <c r="F22" s="10">
        <f t="shared" si="2"/>
        <v>3000</v>
      </c>
      <c r="G22" s="10">
        <f t="shared" si="2"/>
        <v>169100</v>
      </c>
    </row>
    <row r="23" spans="1:8" x14ac:dyDescent="0.3">
      <c r="A23" s="7" t="s">
        <v>19</v>
      </c>
      <c r="B23" s="12">
        <f>NPV(B24,C22:G22)+B22</f>
        <v>16931.155664712132</v>
      </c>
      <c r="H23">
        <v>0.5</v>
      </c>
    </row>
    <row r="24" spans="1:8" x14ac:dyDescent="0.3">
      <c r="A24" s="3" t="s">
        <v>47</v>
      </c>
      <c r="B24" s="13">
        <v>0.13</v>
      </c>
    </row>
  </sheetData>
  <mergeCells count="2">
    <mergeCell ref="B13:G13"/>
    <mergeCell ref="B18:G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CB94D-7772-41DE-9957-52FEE40A2CD0}">
  <dimension ref="A1:H37"/>
  <sheetViews>
    <sheetView topLeftCell="A6" workbookViewId="0">
      <selection activeCell="H1" sqref="H1"/>
    </sheetView>
  </sheetViews>
  <sheetFormatPr baseColWidth="10" defaultRowHeight="14.4" x14ac:dyDescent="0.3"/>
  <cols>
    <col min="2" max="2" width="27.44140625" bestFit="1" customWidth="1"/>
    <col min="3" max="3" width="16.5546875" customWidth="1"/>
    <col min="4" max="4" width="16.44140625" customWidth="1"/>
    <col min="5" max="5" width="15.109375" customWidth="1"/>
    <col min="6" max="6" width="14.109375" customWidth="1"/>
    <col min="7" max="7" width="16.88671875" customWidth="1"/>
    <col min="11" max="11" width="27.44140625" bestFit="1" customWidth="1"/>
    <col min="13" max="13" width="28.109375" bestFit="1" customWidth="1"/>
  </cols>
  <sheetData>
    <row r="1" spans="1:8" ht="28.8" x14ac:dyDescent="0.3">
      <c r="A1" s="3" t="s">
        <v>48</v>
      </c>
      <c r="B1" s="8">
        <v>300000</v>
      </c>
      <c r="D1" s="14" t="s">
        <v>21</v>
      </c>
      <c r="E1" s="15" t="s">
        <v>49</v>
      </c>
      <c r="F1" s="14" t="s">
        <v>50</v>
      </c>
      <c r="G1" s="15" t="s">
        <v>51</v>
      </c>
      <c r="H1" s="14" t="s">
        <v>52</v>
      </c>
    </row>
    <row r="2" spans="1:8" x14ac:dyDescent="0.3">
      <c r="A2" s="3" t="s">
        <v>53</v>
      </c>
      <c r="B2" s="3">
        <v>5</v>
      </c>
      <c r="D2" s="3" t="s">
        <v>22</v>
      </c>
      <c r="E2" s="8">
        <f>B1</f>
        <v>300000</v>
      </c>
      <c r="F2" s="8">
        <f>E2*$B$3</f>
        <v>18000</v>
      </c>
      <c r="G2" s="16">
        <f>H2-F2</f>
        <v>53218.920129356891</v>
      </c>
      <c r="H2" s="16">
        <f>-PMT($B$3,B2,$B$1)</f>
        <v>71218.920129356891</v>
      </c>
    </row>
    <row r="3" spans="1:8" x14ac:dyDescent="0.3">
      <c r="A3" s="3" t="s">
        <v>54</v>
      </c>
      <c r="B3" s="13">
        <v>0.06</v>
      </c>
      <c r="D3" s="3" t="s">
        <v>23</v>
      </c>
      <c r="E3" s="8">
        <f>E2-G2</f>
        <v>246781.07987064309</v>
      </c>
      <c r="F3" s="8">
        <f>E3*$B$3</f>
        <v>14806.864792238584</v>
      </c>
      <c r="G3" s="16">
        <f>H3-F3</f>
        <v>56412.055337118305</v>
      </c>
      <c r="H3" s="16">
        <f>-PMT($B$3,5,$B$1)</f>
        <v>71218.920129356891</v>
      </c>
    </row>
    <row r="4" spans="1:8" x14ac:dyDescent="0.3">
      <c r="D4" s="3" t="s">
        <v>24</v>
      </c>
      <c r="E4" s="8">
        <f>E3-G3</f>
        <v>190369.02453352479</v>
      </c>
      <c r="F4" s="8">
        <f>E4*$B$3</f>
        <v>11422.141472011486</v>
      </c>
      <c r="G4" s="16">
        <f>H4-F4</f>
        <v>59796.778657345407</v>
      </c>
      <c r="H4" s="16">
        <f>-PMT($B$3,5,$B$1)</f>
        <v>71218.920129356891</v>
      </c>
    </row>
    <row r="5" spans="1:8" x14ac:dyDescent="0.3">
      <c r="D5" s="3" t="s">
        <v>25</v>
      </c>
      <c r="E5" s="8">
        <f>E4-G4</f>
        <v>130572.24587617938</v>
      </c>
      <c r="F5" s="8">
        <f>E5*$B$3</f>
        <v>7834.3347525707622</v>
      </c>
      <c r="G5" s="16">
        <f>H5-F5</f>
        <v>63384.585376786126</v>
      </c>
      <c r="H5" s="16">
        <f>-PMT($B$3,5,$B$1)</f>
        <v>71218.920129356891</v>
      </c>
    </row>
    <row r="6" spans="1:8" x14ac:dyDescent="0.3">
      <c r="D6" s="3" t="s">
        <v>26</v>
      </c>
      <c r="E6" s="8">
        <f>E5-G5</f>
        <v>67187.660499393256</v>
      </c>
      <c r="F6" s="8">
        <f>E6*$B$3</f>
        <v>4031.2596299635952</v>
      </c>
      <c r="G6" s="16">
        <f>H6-F6</f>
        <v>67187.6604993933</v>
      </c>
      <c r="H6" s="16">
        <f>-PMT($B$3,5,$B$1)</f>
        <v>71218.920129356891</v>
      </c>
    </row>
    <row r="8" spans="1:8" x14ac:dyDescent="0.3">
      <c r="B8" s="3" t="s">
        <v>28</v>
      </c>
      <c r="C8" s="8">
        <v>500000</v>
      </c>
    </row>
    <row r="11" spans="1:8" x14ac:dyDescent="0.3">
      <c r="B11" s="6" t="s">
        <v>21</v>
      </c>
      <c r="C11" s="6" t="s">
        <v>22</v>
      </c>
      <c r="D11" s="6" t="s">
        <v>23</v>
      </c>
      <c r="E11" s="6" t="s">
        <v>24</v>
      </c>
      <c r="F11" s="6" t="s">
        <v>25</v>
      </c>
      <c r="G11" s="6" t="s">
        <v>26</v>
      </c>
    </row>
    <row r="12" spans="1:8" x14ac:dyDescent="0.3">
      <c r="B12" s="14" t="s">
        <v>5</v>
      </c>
      <c r="C12" s="8">
        <f>'Crédit bail'!B4</f>
        <v>600000</v>
      </c>
      <c r="D12" s="8">
        <f>'Crédit bail'!C4</f>
        <v>682500</v>
      </c>
      <c r="E12" s="8">
        <f>'Crédit bail'!D4</f>
        <v>715000</v>
      </c>
      <c r="F12" s="8">
        <f>'Crédit bail'!E4</f>
        <v>500000</v>
      </c>
      <c r="G12" s="8">
        <f>'Crédit bail'!F4</f>
        <v>480000</v>
      </c>
    </row>
    <row r="13" spans="1:8" x14ac:dyDescent="0.3">
      <c r="B13" s="14" t="s">
        <v>31</v>
      </c>
      <c r="C13" s="8">
        <f>'Crédit bail'!B5</f>
        <v>450000</v>
      </c>
      <c r="D13" s="8">
        <f>'Crédit bail'!C5</f>
        <v>551250</v>
      </c>
      <c r="E13" s="8">
        <f>'Crédit bail'!D5</f>
        <v>550000</v>
      </c>
      <c r="F13" s="8">
        <f>'Crédit bail'!E5</f>
        <v>400000</v>
      </c>
      <c r="G13" s="8">
        <f>'Crédit bail'!F5</f>
        <v>384000</v>
      </c>
    </row>
    <row r="14" spans="1:8" x14ac:dyDescent="0.3">
      <c r="B14" s="14" t="s">
        <v>32</v>
      </c>
      <c r="C14" s="8">
        <f>'Financement empruny'!B19</f>
        <v>62500</v>
      </c>
      <c r="D14" s="8">
        <f>'Financement empruny'!C19</f>
        <v>62500</v>
      </c>
      <c r="E14" s="8">
        <f>'Financement empruny'!D19</f>
        <v>62500</v>
      </c>
      <c r="F14" s="8">
        <f>'Financement empruny'!E19</f>
        <v>62500</v>
      </c>
      <c r="G14" s="8">
        <f>'Financement empruny'!F19</f>
        <v>62500</v>
      </c>
    </row>
    <row r="15" spans="1:8" x14ac:dyDescent="0.3">
      <c r="B15" s="14" t="s">
        <v>50</v>
      </c>
      <c r="C15" s="8">
        <f>F2</f>
        <v>18000</v>
      </c>
      <c r="D15" s="8">
        <f>F3</f>
        <v>14806.864792238584</v>
      </c>
      <c r="E15" s="8">
        <f>F4</f>
        <v>11422.141472011486</v>
      </c>
      <c r="F15" s="8">
        <f>F5</f>
        <v>7834.3347525707622</v>
      </c>
      <c r="G15" s="8">
        <f>F6</f>
        <v>4031.2596299635952</v>
      </c>
    </row>
    <row r="16" spans="1:8" x14ac:dyDescent="0.3">
      <c r="B16" s="14" t="s">
        <v>33</v>
      </c>
      <c r="C16" s="8">
        <f>C12-C13-C14-C15</f>
        <v>69500</v>
      </c>
      <c r="D16" s="8">
        <f t="shared" ref="D16:G16" si="0">D12-D13-D14-D15</f>
        <v>53943.135207761414</v>
      </c>
      <c r="E16" s="8">
        <f t="shared" si="0"/>
        <v>91077.858527988516</v>
      </c>
      <c r="F16" s="8">
        <f t="shared" si="0"/>
        <v>29665.665247429239</v>
      </c>
      <c r="G16" s="8">
        <f t="shared" si="0"/>
        <v>29468.740370036405</v>
      </c>
    </row>
    <row r="17" spans="2:8" x14ac:dyDescent="0.3">
      <c r="B17" s="14" t="s">
        <v>34</v>
      </c>
      <c r="C17" s="8">
        <f>C16*0.25</f>
        <v>17375</v>
      </c>
      <c r="D17" s="8">
        <f t="shared" ref="D17:F17" si="1">D16*0.25</f>
        <v>13485.783801940353</v>
      </c>
      <c r="E17" s="8">
        <f t="shared" si="1"/>
        <v>22769.464631997129</v>
      </c>
      <c r="F17" s="8">
        <f t="shared" si="1"/>
        <v>7416.4163118573097</v>
      </c>
      <c r="G17" s="8">
        <f>G16*0.25</f>
        <v>7367.1850925091012</v>
      </c>
    </row>
    <row r="18" spans="2:8" x14ac:dyDescent="0.3">
      <c r="B18" s="14" t="s">
        <v>35</v>
      </c>
      <c r="C18" s="8">
        <f>C16-C17</f>
        <v>52125</v>
      </c>
      <c r="D18" s="8">
        <f t="shared" ref="D18:G18" si="2">D16-D17</f>
        <v>40457.351405821057</v>
      </c>
      <c r="E18" s="8">
        <f t="shared" si="2"/>
        <v>68308.393895991379</v>
      </c>
      <c r="F18" s="8">
        <f t="shared" si="2"/>
        <v>22249.24893557193</v>
      </c>
      <c r="G18" s="8">
        <f t="shared" si="2"/>
        <v>22101.555277527303</v>
      </c>
    </row>
    <row r="19" spans="2:8" x14ac:dyDescent="0.3">
      <c r="B19" s="14" t="s">
        <v>13</v>
      </c>
      <c r="C19" s="8">
        <f>C18+C14</f>
        <v>114625</v>
      </c>
      <c r="D19" s="8">
        <f t="shared" ref="D19:G19" si="3">D18+D14</f>
        <v>102957.35140582106</v>
      </c>
      <c r="E19" s="8">
        <f t="shared" si="3"/>
        <v>130808.39389599138</v>
      </c>
      <c r="F19" s="8">
        <f t="shared" si="3"/>
        <v>84749.24893557193</v>
      </c>
      <c r="G19" s="8">
        <f t="shared" si="3"/>
        <v>84601.55527752731</v>
      </c>
    </row>
    <row r="23" spans="2:8" x14ac:dyDescent="0.3">
      <c r="B23" s="6" t="s">
        <v>36</v>
      </c>
      <c r="C23" s="6" t="s">
        <v>37</v>
      </c>
      <c r="D23" s="6" t="s">
        <v>22</v>
      </c>
      <c r="E23" s="6" t="s">
        <v>23</v>
      </c>
      <c r="F23" s="6" t="s">
        <v>24</v>
      </c>
      <c r="G23" s="6" t="s">
        <v>25</v>
      </c>
      <c r="H23" s="6" t="s">
        <v>26</v>
      </c>
    </row>
    <row r="24" spans="2:8" x14ac:dyDescent="0.3">
      <c r="B24" s="9" t="s">
        <v>38</v>
      </c>
      <c r="C24" s="24"/>
      <c r="D24" s="25"/>
      <c r="E24" s="25"/>
      <c r="F24" s="25"/>
      <c r="G24" s="25"/>
      <c r="H24" s="26"/>
    </row>
    <row r="25" spans="2:8" x14ac:dyDescent="0.3">
      <c r="B25" s="7" t="s">
        <v>39</v>
      </c>
      <c r="C25" s="10"/>
      <c r="D25" s="8">
        <f>C19</f>
        <v>114625</v>
      </c>
      <c r="E25" s="8">
        <f>D19</f>
        <v>102957.35140582106</v>
      </c>
      <c r="F25" s="8">
        <f>E19</f>
        <v>130808.39389599138</v>
      </c>
      <c r="G25" s="8">
        <f>F19</f>
        <v>84749.24893557193</v>
      </c>
      <c r="H25" s="8">
        <f>G19</f>
        <v>84601.55527752731</v>
      </c>
    </row>
    <row r="26" spans="2:8" x14ac:dyDescent="0.3">
      <c r="B26" s="7" t="s">
        <v>40</v>
      </c>
      <c r="C26" s="10"/>
      <c r="D26" s="8"/>
      <c r="E26" s="8"/>
      <c r="F26" s="8"/>
      <c r="G26" s="8"/>
      <c r="H26" s="8">
        <f>'Financement empruny'!G29</f>
        <v>189375</v>
      </c>
    </row>
    <row r="27" spans="2:8" x14ac:dyDescent="0.3">
      <c r="B27" s="7" t="s">
        <v>48</v>
      </c>
      <c r="C27" s="10">
        <f>B1</f>
        <v>300000</v>
      </c>
      <c r="D27" s="8"/>
      <c r="E27" s="8"/>
      <c r="F27" s="8"/>
      <c r="G27" s="8"/>
      <c r="H27" s="8"/>
    </row>
    <row r="28" spans="2:8" x14ac:dyDescent="0.3">
      <c r="B28" s="7" t="s">
        <v>41</v>
      </c>
      <c r="C28" s="10"/>
      <c r="D28" s="8"/>
      <c r="E28" s="8"/>
      <c r="F28" s="8"/>
      <c r="G28" s="8"/>
      <c r="H28" s="8">
        <f>C32</f>
        <v>119100</v>
      </c>
    </row>
    <row r="29" spans="2:8" x14ac:dyDescent="0.3">
      <c r="B29" s="7" t="s">
        <v>42</v>
      </c>
      <c r="C29" s="10">
        <f>SUM(C25:C28)</f>
        <v>300000</v>
      </c>
      <c r="D29" s="10">
        <f>SUM(D25:D28)</f>
        <v>114625</v>
      </c>
      <c r="E29" s="10">
        <f t="shared" ref="E29:G29" si="4">SUM(E25:E28)</f>
        <v>102957.35140582106</v>
      </c>
      <c r="F29" s="10">
        <f t="shared" si="4"/>
        <v>130808.39389599138</v>
      </c>
      <c r="G29" s="10">
        <f t="shared" si="4"/>
        <v>84749.24893557193</v>
      </c>
      <c r="H29" s="10">
        <f>SUM(H25:H28)</f>
        <v>393076.55527752731</v>
      </c>
    </row>
    <row r="30" spans="2:8" x14ac:dyDescent="0.3">
      <c r="B30" s="9" t="s">
        <v>43</v>
      </c>
      <c r="C30" s="24"/>
      <c r="D30" s="25"/>
      <c r="E30" s="25"/>
      <c r="F30" s="25"/>
      <c r="G30" s="25"/>
      <c r="H30" s="26"/>
    </row>
    <row r="31" spans="2:8" x14ac:dyDescent="0.3">
      <c r="B31" s="7" t="s">
        <v>44</v>
      </c>
      <c r="C31" s="10">
        <f>[1]Financement!B34</f>
        <v>500000</v>
      </c>
      <c r="D31" s="8"/>
      <c r="E31" s="8"/>
      <c r="F31" s="8"/>
      <c r="G31" s="8"/>
      <c r="H31" s="8"/>
    </row>
    <row r="32" spans="2:8" x14ac:dyDescent="0.3">
      <c r="B32" s="7" t="s">
        <v>17</v>
      </c>
      <c r="C32" s="10">
        <f>'Financement empruny'!B35</f>
        <v>119100</v>
      </c>
      <c r="D32" s="8"/>
      <c r="E32" s="8"/>
      <c r="F32" s="8"/>
      <c r="G32" s="8"/>
      <c r="H32" s="8"/>
    </row>
    <row r="33" spans="2:8" x14ac:dyDescent="0.3">
      <c r="B33" s="7" t="s">
        <v>55</v>
      </c>
      <c r="C33" s="10"/>
      <c r="D33" s="10">
        <f>G2</f>
        <v>53218.920129356891</v>
      </c>
      <c r="E33" s="10">
        <f>G3</f>
        <v>56412.055337118305</v>
      </c>
      <c r="F33" s="10">
        <f>G4</f>
        <v>59796.778657345407</v>
      </c>
      <c r="G33" s="10">
        <f>G5</f>
        <v>63384.585376786126</v>
      </c>
      <c r="H33" s="10">
        <f>G6</f>
        <v>67187.6604993933</v>
      </c>
    </row>
    <row r="34" spans="2:8" x14ac:dyDescent="0.3">
      <c r="B34" s="7" t="s">
        <v>45</v>
      </c>
      <c r="C34" s="10">
        <f>SUM(C31:C33)</f>
        <v>619100</v>
      </c>
      <c r="D34" s="10">
        <f t="shared" ref="D34:H34" si="5">SUM(D31:D33)</f>
        <v>53218.920129356891</v>
      </c>
      <c r="E34" s="10">
        <f t="shared" si="5"/>
        <v>56412.055337118305</v>
      </c>
      <c r="F34" s="10">
        <f t="shared" si="5"/>
        <v>59796.778657345407</v>
      </c>
      <c r="G34" s="10">
        <f t="shared" si="5"/>
        <v>63384.585376786126</v>
      </c>
      <c r="H34" s="10">
        <f t="shared" si="5"/>
        <v>67187.6604993933</v>
      </c>
    </row>
    <row r="35" spans="2:8" x14ac:dyDescent="0.3">
      <c r="B35" s="7" t="s">
        <v>46</v>
      </c>
      <c r="C35" s="10">
        <f>C29-C34</f>
        <v>-319100</v>
      </c>
      <c r="D35" s="10">
        <f t="shared" ref="D35:H35" si="6">D29-D34</f>
        <v>61406.079870643109</v>
      </c>
      <c r="E35" s="10">
        <f t="shared" si="6"/>
        <v>46545.296068702752</v>
      </c>
      <c r="F35" s="10">
        <f t="shared" si="6"/>
        <v>71011.615238645973</v>
      </c>
      <c r="G35" s="10">
        <f t="shared" si="6"/>
        <v>21364.663558785804</v>
      </c>
      <c r="H35" s="10">
        <f t="shared" si="6"/>
        <v>325888.89477813401</v>
      </c>
    </row>
    <row r="36" spans="2:8" x14ac:dyDescent="0.3">
      <c r="B36" s="7" t="s">
        <v>19</v>
      </c>
      <c r="C36" s="12">
        <f>NPV(C37,D35:H35)+C35</f>
        <v>10890.853253823356</v>
      </c>
    </row>
    <row r="37" spans="2:8" x14ac:dyDescent="0.3">
      <c r="B37" s="3" t="s">
        <v>47</v>
      </c>
      <c r="C37" s="13">
        <v>0.13</v>
      </c>
    </row>
  </sheetData>
  <mergeCells count="2">
    <mergeCell ref="C24:H24"/>
    <mergeCell ref="C30:H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b6f2b70-d5a1-4544-a145-5b4293f1365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529F2146C75048A695AB3F03D98EF9" ma:contentTypeVersion="9" ma:contentTypeDescription="Crée un document." ma:contentTypeScope="" ma:versionID="0a8c11bba231240f7a8b66f0a1ef3d9c">
  <xsd:schema xmlns:xsd="http://www.w3.org/2001/XMLSchema" xmlns:xs="http://www.w3.org/2001/XMLSchema" xmlns:p="http://schemas.microsoft.com/office/2006/metadata/properties" xmlns:ns3="1b6f2b70-d5a1-4544-a145-5b4293f13656" targetNamespace="http://schemas.microsoft.com/office/2006/metadata/properties" ma:root="true" ma:fieldsID="06665c73deed81fd50d97a2b1d544c73" ns3:_="">
    <xsd:import namespace="1b6f2b70-d5a1-4544-a145-5b4293f136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f2b70-d5a1-4544-a145-5b4293f136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908834-C70A-4420-90F9-CF5C8686E462}">
  <ds:schemaRefs>
    <ds:schemaRef ds:uri="http://purl.org/dc/elements/1.1/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1b6f2b70-d5a1-4544-a145-5b4293f13656"/>
  </ds:schemaRefs>
</ds:datastoreItem>
</file>

<file path=customXml/itemProps2.xml><?xml version="1.0" encoding="utf-8"?>
<ds:datastoreItem xmlns:ds="http://schemas.openxmlformats.org/officeDocument/2006/customXml" ds:itemID="{9289ABC7-4760-4130-B9EC-7D173E65B4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03A22B-AC32-4B68-8C94-D26EDBECC4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6f2b70-d5a1-4544-a145-5b4293f136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Sur 7 ans</vt:lpstr>
      <vt:lpstr>Sur 5 ans</vt:lpstr>
      <vt:lpstr>Financement empruny</vt:lpstr>
      <vt:lpstr>Crédit bail</vt:lpstr>
      <vt:lpstr>Feuille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NOEL Eric</cp:lastModifiedBy>
  <dcterms:created xsi:type="dcterms:W3CDTF">2022-10-08T08:05:55Z</dcterms:created>
  <dcterms:modified xsi:type="dcterms:W3CDTF">2023-06-23T08:59:28Z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0x01010021529F2146C75048A695AB3F03D98EF9</vt:lpwstr>
  </property>
  <property fmtid="{D5CDD505-2E9C-101B-9397-08002B2CF9AE}" pid="3" name="WorkbookGuid">
    <vt:lpwstr>a6c014ab-f979-458e-af34-0998023e9621</vt:lpwstr>
  </property>
</Properties>
</file>