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/Cours BUT 1/R209 Controle de Gestion/Devoirs FA1/2024 2025/"/>
    </mc:Choice>
  </mc:AlternateContent>
  <xr:revisionPtr revIDLastSave="2" documentId="14_{3C8D948F-2BF5-4F5E-A26B-39D1633C5452}" xr6:coauthVersionLast="36" xr6:coauthVersionMax="36" xr10:uidLastSave="{58B9E689-715D-4ED6-9BE0-7347E65626A0}"/>
  <bookViews>
    <workbookView xWindow="0" yWindow="0" windowWidth="23040" windowHeight="9060" activeTab="1" xr2:uid="{C515C7F4-A647-425B-9C46-0222172759A2}"/>
  </bookViews>
  <sheets>
    <sheet name="Feuil1" sheetId="1" r:id="rId1"/>
    <sheet name="Feuil2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G20" i="2"/>
  <c r="G19" i="2"/>
  <c r="G21" i="2" s="1"/>
  <c r="B15" i="2"/>
  <c r="D14" i="2"/>
  <c r="D15" i="2" s="1"/>
  <c r="C15" i="2" s="1"/>
  <c r="D39" i="1"/>
  <c r="D37" i="1"/>
  <c r="D35" i="1"/>
  <c r="F36" i="1"/>
  <c r="F35" i="1"/>
  <c r="Q37" i="1"/>
  <c r="D33" i="1"/>
  <c r="B28" i="1"/>
  <c r="C23" i="1"/>
  <c r="B21" i="1"/>
  <c r="P17" i="1"/>
  <c r="D20" i="1"/>
  <c r="O5" i="1" l="1"/>
  <c r="I1" i="2" l="1"/>
  <c r="K5" i="2" l="1"/>
  <c r="C41" i="2"/>
  <c r="B41" i="2"/>
  <c r="C42" i="2"/>
  <c r="D46" i="2"/>
  <c r="B42" i="2"/>
  <c r="B43" i="2" s="1"/>
  <c r="B47" i="2" s="1"/>
  <c r="E35" i="2"/>
  <c r="B34" i="2"/>
  <c r="B35" i="2" s="1"/>
  <c r="F34" i="2" s="1"/>
  <c r="F35" i="2" s="1"/>
  <c r="D33" i="2"/>
  <c r="C28" i="2"/>
  <c r="D28" i="2" s="1"/>
  <c r="B27" i="2"/>
  <c r="D27" i="2" s="1"/>
  <c r="B26" i="2"/>
  <c r="D26" i="2" s="1"/>
  <c r="B25" i="2"/>
  <c r="B24" i="2"/>
  <c r="E6" i="2"/>
  <c r="B6" i="2"/>
  <c r="G4" i="2"/>
  <c r="E5" i="2" s="1"/>
  <c r="G5" i="2" s="1"/>
  <c r="D4" i="2"/>
  <c r="B5" i="2" s="1"/>
  <c r="D5" i="2" s="1"/>
  <c r="I30" i="1"/>
  <c r="J30" i="1"/>
  <c r="J27" i="1"/>
  <c r="J28" i="1"/>
  <c r="J21" i="1"/>
  <c r="J23" i="1" s="1"/>
  <c r="I23" i="1" s="1"/>
  <c r="O6" i="1"/>
  <c r="J22" i="1"/>
  <c r="I22" i="1"/>
  <c r="H22" i="1"/>
  <c r="L14" i="1"/>
  <c r="L13" i="1"/>
  <c r="E9" i="1"/>
  <c r="B29" i="1"/>
  <c r="D28" i="1"/>
  <c r="B25" i="1"/>
  <c r="B27" i="1"/>
  <c r="D9" i="1"/>
  <c r="D21" i="1"/>
  <c r="J7" i="1"/>
  <c r="J6" i="1"/>
  <c r="J5" i="1"/>
  <c r="B16" i="1"/>
  <c r="C15" i="1"/>
  <c r="D14" i="1"/>
  <c r="D41" i="2" l="1"/>
  <c r="G6" i="2"/>
  <c r="F6" i="2" s="1"/>
  <c r="C25" i="2" s="1"/>
  <c r="D25" i="2" s="1"/>
  <c r="D6" i="2"/>
  <c r="C6" i="2" s="1"/>
  <c r="D42" i="2"/>
  <c r="D15" i="1"/>
  <c r="D16" i="1" s="1"/>
  <c r="C10" i="1"/>
  <c r="K3" i="1"/>
  <c r="J3" i="1"/>
  <c r="C7" i="1"/>
  <c r="D7" i="1"/>
  <c r="D10" i="1" s="1"/>
  <c r="C22" i="1" s="1"/>
  <c r="D22" i="1" s="1"/>
  <c r="E7" i="1"/>
  <c r="E10" i="1" s="1"/>
  <c r="C29" i="1" s="1"/>
  <c r="D29" i="1" s="1"/>
  <c r="B7" i="1"/>
  <c r="D6" i="1"/>
  <c r="E6" i="1"/>
  <c r="C6" i="1"/>
  <c r="B6" i="1"/>
  <c r="C16" i="1" l="1"/>
  <c r="C20" i="1" s="1"/>
  <c r="D23" i="1"/>
  <c r="C27" i="1" s="1"/>
  <c r="C24" i="2"/>
  <c r="D24" i="2" s="1"/>
  <c r="D29" i="2" s="1"/>
  <c r="C29" i="2" s="1"/>
  <c r="C34" i="2" s="1"/>
  <c r="D34" i="2" s="1"/>
  <c r="D35" i="2" s="1"/>
  <c r="C35" i="2" s="1"/>
  <c r="C40" i="2" s="1"/>
  <c r="G33" i="2" l="1"/>
  <c r="G34" i="2" s="1"/>
  <c r="H34" i="2" s="1"/>
  <c r="D40" i="2"/>
  <c r="D43" i="2" s="1"/>
  <c r="D27" i="1"/>
  <c r="D30" i="1" s="1"/>
  <c r="C30" i="1" s="1"/>
  <c r="H33" i="2" l="1"/>
  <c r="H35" i="2" s="1"/>
  <c r="G35" i="2" s="1"/>
  <c r="C43" i="2"/>
  <c r="C47" i="2" s="1"/>
  <c r="C48" i="2" s="1"/>
  <c r="D47" i="2"/>
  <c r="D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10" authorId="0" shapeId="0" xr:uid="{B8C738E3-4443-47C9-BCEC-2AF1821F3B99}">
      <text>
        <r>
          <rPr>
            <b/>
            <sz val="9"/>
            <color indexed="81"/>
            <rFont val="Tahoma"/>
            <charset val="1"/>
          </rPr>
          <t>Pour 1m² acheté il y aura 10€ de charges indirectes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 shapeId="0" xr:uid="{89A219B7-A805-4892-BF7B-71E05CC0A75C}">
      <text>
        <r>
          <rPr>
            <b/>
            <sz val="9"/>
            <color indexed="81"/>
            <rFont val="Tahoma"/>
            <charset val="1"/>
          </rPr>
          <t>Quantité de cuir pour les ceintures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8" authorId="0" shapeId="0" xr:uid="{B8087175-3C90-44CD-98D8-ADD49C5A7EB2}">
      <text>
        <r>
          <rPr>
            <b/>
            <sz val="9"/>
            <color indexed="81"/>
            <rFont val="Tahoma"/>
            <charset val="1"/>
          </rPr>
          <t>32€ * 10000 = 320000€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<sst xmlns="http://schemas.openxmlformats.org/spreadsheetml/2006/main" count="123" uniqueCount="75">
  <si>
    <t>Centre logistique</t>
  </si>
  <si>
    <t>Répartiton primaire</t>
  </si>
  <si>
    <t>Logistique</t>
  </si>
  <si>
    <t xml:space="preserve">Approvisionnement </t>
  </si>
  <si>
    <t xml:space="preserve">Production </t>
  </si>
  <si>
    <t>Administration</t>
  </si>
  <si>
    <t>Total répartition secondaire</t>
  </si>
  <si>
    <t>Unité d'œuvre</t>
  </si>
  <si>
    <t>Nombre de produits fabriqués</t>
  </si>
  <si>
    <t>Cuir</t>
  </si>
  <si>
    <t>4750 m²</t>
  </si>
  <si>
    <t>MOD</t>
  </si>
  <si>
    <t>Quantité</t>
  </si>
  <si>
    <t>Prix unitaire</t>
  </si>
  <si>
    <t>Montant</t>
  </si>
  <si>
    <t xml:space="preserve">Achat </t>
  </si>
  <si>
    <t xml:space="preserve">Centre approvisionnement </t>
  </si>
  <si>
    <t>COUT D'APPROVISIONNEMENT</t>
  </si>
  <si>
    <t>Coût d'approvisionnement</t>
  </si>
  <si>
    <t xml:space="preserve">Centre production </t>
  </si>
  <si>
    <t>COUT PRODUCTION</t>
  </si>
  <si>
    <t>Coût de production</t>
  </si>
  <si>
    <t>Centre administration</t>
  </si>
  <si>
    <t>COUT DE REVIENT</t>
  </si>
  <si>
    <t>Ceinture</t>
  </si>
  <si>
    <t>Bracelet</t>
  </si>
  <si>
    <t>18mn</t>
  </si>
  <si>
    <t>5mn</t>
  </si>
  <si>
    <t>Commission</t>
  </si>
  <si>
    <t>COUT D'ACHAT DU BOIS</t>
  </si>
  <si>
    <t>COUT D'ACHAT DU PLASTIQUE</t>
  </si>
  <si>
    <t>Prix Unitaire</t>
  </si>
  <si>
    <t>Achat</t>
  </si>
  <si>
    <t>Charges indirectes d'approvisionnement</t>
  </si>
  <si>
    <t>Coüt d'achat</t>
  </si>
  <si>
    <t>FICHE DE STOCK DU BOIS</t>
  </si>
  <si>
    <t>Q</t>
  </si>
  <si>
    <t>PU</t>
  </si>
  <si>
    <t>M</t>
  </si>
  <si>
    <t>Stock Initial</t>
  </si>
  <si>
    <t>Sortie</t>
  </si>
  <si>
    <t>Entrée en stock</t>
  </si>
  <si>
    <t>Stock Final</t>
  </si>
  <si>
    <t>TOTAL</t>
  </si>
  <si>
    <t>COUT DE PRODUCTION SNOWBOARD</t>
  </si>
  <si>
    <t>Consommation de bois</t>
  </si>
  <si>
    <t>3m² de bois</t>
  </si>
  <si>
    <t>Consommation de plastique</t>
  </si>
  <si>
    <t>7m² de plastique</t>
  </si>
  <si>
    <t>M.Oeuvre Atelier "Plannage"</t>
  </si>
  <si>
    <t>6 heures MOD Atelier plannage</t>
  </si>
  <si>
    <t>M.Oeuvre Atelier "Découpage"</t>
  </si>
  <si>
    <t>3h et 15mn MOD atelier Découpage</t>
  </si>
  <si>
    <t>Charges Indirectes de production</t>
  </si>
  <si>
    <t>En focntion des quantités fabriqués</t>
  </si>
  <si>
    <t>Coût de Production</t>
  </si>
  <si>
    <t>FICHE DE STOCK DU LONGBOARD</t>
  </si>
  <si>
    <t>COUT DE REVIENT - LONGBOARD</t>
  </si>
  <si>
    <t>Charges Indirectes "Administration"</t>
  </si>
  <si>
    <t>Charges  "Distribution"</t>
  </si>
  <si>
    <t>Coût de revient</t>
  </si>
  <si>
    <t>CA</t>
  </si>
  <si>
    <t>RESULTAT</t>
  </si>
  <si>
    <t>Nombre UO</t>
  </si>
  <si>
    <t>Coût d'une unité d'œuvre</t>
  </si>
  <si>
    <t>Chiffre d'affaires réalisé</t>
  </si>
  <si>
    <t>M² de matière première achetée</t>
  </si>
  <si>
    <t>60mn</t>
  </si>
  <si>
    <t>Production</t>
  </si>
  <si>
    <t>H. MOD</t>
  </si>
  <si>
    <t>Bracelets</t>
  </si>
  <si>
    <t>CUMP</t>
  </si>
  <si>
    <t>Longboard</t>
  </si>
  <si>
    <t>m² de bois</t>
  </si>
  <si>
    <t>Snowboard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</si>
</sst>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0000\ &quot;€&quot;_-;\-* #,##0.000000\ &quot;€&quot;_-;_-* &quot;-&quot;??\ &quot;€&quot;_-;_-@_-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44" fontId="4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4" fontId="3" fillId="0" borderId="2" xfId="1" applyFont="1" applyBorder="1" applyAlignment="1">
      <alignment horizontal="right" vertical="center"/>
    </xf>
    <xf numFmtId="44" fontId="4" fillId="2" borderId="2" xfId="0" applyNumberFormat="1" applyFont="1" applyFill="1" applyBorder="1" applyAlignment="1">
      <alignment vertical="center"/>
    </xf>
    <xf numFmtId="6" fontId="0" fillId="0" borderId="0" xfId="0" applyNumberForma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44" fontId="3" fillId="0" borderId="7" xfId="1" applyFont="1" applyBorder="1" applyAlignment="1">
      <alignment vertical="center"/>
    </xf>
    <xf numFmtId="8" fontId="3" fillId="0" borderId="7" xfId="0" applyNumberFormat="1" applyFont="1" applyBorder="1" applyAlignment="1">
      <alignment horizontal="right" vertical="center"/>
    </xf>
    <xf numFmtId="8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44" fontId="4" fillId="0" borderId="7" xfId="0" applyNumberFormat="1" applyFont="1" applyBorder="1" applyAlignment="1">
      <alignment vertical="center"/>
    </xf>
    <xf numFmtId="9" fontId="3" fillId="0" borderId="2" xfId="1" applyNumberFormat="1" applyFont="1" applyBorder="1" applyAlignment="1">
      <alignment horizontal="right" vertical="center"/>
    </xf>
    <xf numFmtId="0" fontId="0" fillId="0" borderId="7" xfId="0" applyBorder="1"/>
    <xf numFmtId="9" fontId="0" fillId="0" borderId="7" xfId="0" applyNumberFormat="1" applyBorder="1"/>
    <xf numFmtId="0" fontId="5" fillId="2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44" fontId="1" fillId="0" borderId="7" xfId="1" applyFont="1" applyBorder="1"/>
    <xf numFmtId="0" fontId="2" fillId="0" borderId="7" xfId="0" applyFont="1" applyBorder="1"/>
    <xf numFmtId="44" fontId="2" fillId="0" borderId="7" xfId="1" applyFont="1" applyBorder="1"/>
    <xf numFmtId="44" fontId="2" fillId="0" borderId="8" xfId="1" applyFont="1" applyBorder="1" applyAlignment="1">
      <alignment horizontal="center"/>
    </xf>
    <xf numFmtId="44" fontId="1" fillId="0" borderId="7" xfId="1" applyFont="1" applyBorder="1" applyAlignment="1">
      <alignment horizontal="center"/>
    </xf>
    <xf numFmtId="44" fontId="0" fillId="0" borderId="7" xfId="0" applyNumberFormat="1" applyBorder="1"/>
    <xf numFmtId="44" fontId="0" fillId="0" borderId="0" xfId="0" applyNumberFormat="1"/>
    <xf numFmtId="164" fontId="1" fillId="0" borderId="7" xfId="1" applyNumberFormat="1" applyFont="1" applyBorder="1"/>
    <xf numFmtId="165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4" fontId="2" fillId="0" borderId="8" xfId="1" applyFont="1" applyBorder="1" applyAlignment="1">
      <alignment horizontal="center"/>
    </xf>
    <xf numFmtId="44" fontId="2" fillId="0" borderId="9" xfId="1" applyFont="1" applyBorder="1" applyAlignment="1">
      <alignment horizontal="center"/>
    </xf>
    <xf numFmtId="44" fontId="2" fillId="0" borderId="10" xfId="1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2" borderId="7" xfId="0" applyFill="1" applyBorder="1"/>
    <xf numFmtId="0" fontId="0" fillId="0" borderId="7" xfId="0" applyFill="1" applyBorder="1"/>
    <xf numFmtId="0" fontId="0" fillId="0" borderId="7" xfId="0" applyFill="1" applyBorder="1" applyAlignment="1">
      <alignment wrapText="1"/>
    </xf>
    <xf numFmtId="44" fontId="0" fillId="2" borderId="7" xfId="1" applyFont="1" applyFill="1" applyBorder="1"/>
    <xf numFmtId="0" fontId="3" fillId="3" borderId="2" xfId="0" applyFont="1" applyFill="1" applyBorder="1" applyAlignment="1">
      <alignment horizontal="right" vertical="center"/>
    </xf>
    <xf numFmtId="44" fontId="3" fillId="3" borderId="2" xfId="1" applyFont="1" applyFill="1" applyBorder="1" applyAlignment="1">
      <alignment horizontal="right" vertical="center"/>
    </xf>
    <xf numFmtId="44" fontId="3" fillId="3" borderId="2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44" fontId="3" fillId="4" borderId="2" xfId="1" applyFont="1" applyFill="1" applyBorder="1" applyAlignment="1">
      <alignment horizontal="right" vertical="center"/>
    </xf>
    <xf numFmtId="44" fontId="3" fillId="4" borderId="2" xfId="1" applyFont="1" applyFill="1" applyBorder="1" applyAlignment="1">
      <alignment vertical="center"/>
    </xf>
    <xf numFmtId="0" fontId="0" fillId="4" borderId="0" xfId="0" applyFill="1"/>
    <xf numFmtId="6" fontId="0" fillId="4" borderId="0" xfId="0" applyNumberFormat="1" applyFill="1"/>
    <xf numFmtId="44" fontId="0" fillId="5" borderId="0" xfId="1" applyFont="1" applyFill="1"/>
    <xf numFmtId="0" fontId="0" fillId="5" borderId="0" xfId="1" applyNumberFormat="1" applyFont="1" applyFill="1"/>
    <xf numFmtId="44" fontId="1" fillId="5" borderId="7" xfId="1" applyFont="1" applyFill="1" applyBorder="1"/>
    <xf numFmtId="44" fontId="1" fillId="6" borderId="7" xfId="1" applyFont="1" applyFill="1" applyBorder="1"/>
    <xf numFmtId="44" fontId="0" fillId="6" borderId="7" xfId="0" applyNumberFormat="1" applyFill="1" applyBorder="1"/>
    <xf numFmtId="44" fontId="1" fillId="7" borderId="7" xfId="1" applyFont="1" applyFill="1" applyBorder="1"/>
    <xf numFmtId="44" fontId="0" fillId="7" borderId="7" xfId="0" applyNumberFormat="1" applyFill="1" applyBorder="1"/>
    <xf numFmtId="44" fontId="1" fillId="7" borderId="7" xfId="1" applyNumberFormat="1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462642</xdr:colOff>
      <xdr:row>9</xdr:row>
      <xdr:rowOff>54428</xdr:rowOff>
    </xdr:from>
    <xdr:to>
      <xdr:col>2</xdr:col>
      <xdr:colOff>647700</xdr:colOff>
      <xdr:row>14</xdr:row>
      <xdr:rowOff>130629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99E46D29-A6E1-479D-A622-5F0E8D096F22}"/>
            </a:ext>
          </a:extLst>
        </xdr:cNvPr>
        <xdr:cNvCxnSpPr/>
      </xdr:nvCxnSpPr>
      <xdr:spPr>
        <a:xfrm>
          <a:off x="3145971" y="2079171"/>
          <a:ext cx="185058" cy="10123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440871</xdr:colOff>
      <xdr:row>15</xdr:row>
      <xdr:rowOff>76200</xdr:rowOff>
    </xdr:from>
    <xdr:to>
      <xdr:col>2</xdr:col>
      <xdr:colOff>642257</xdr:colOff>
      <xdr:row>19</xdr:row>
      <xdr:rowOff>92528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CBDCC803-53B6-42F9-B266-DC25CFAE80C1}"/>
            </a:ext>
          </a:extLst>
        </xdr:cNvPr>
        <xdr:cNvCxnSpPr/>
      </xdr:nvCxnSpPr>
      <xdr:spPr>
        <a:xfrm>
          <a:off x="3124200" y="3222171"/>
          <a:ext cx="201386" cy="7728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12</xdr:row>
      <xdr:rowOff>69850</xdr:rowOff>
    </xdr:from>
    <xdr:to>
      <xdr:col>6</xdr:col>
      <xdr:colOff>990600</xdr:colOff>
      <xdr:row>14</xdr:row>
      <xdr:rowOff>120650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6EB5499D-B38A-4B4E-8F4E-DCB4C899139F}"/>
            </a:ext>
          </a:extLst>
        </xdr:cNvPr>
        <xdr:cNvCxnSpPr/>
      </xdr:nvCxnSpPr>
      <xdr:spPr>
        <a:xfrm flipV="1">
          <a:off x="4076700" y="2362200"/>
          <a:ext cx="3975100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060FF-B275-4522-B5C7-43670954962F}">
  <dimension ref="A2:Q40"/>
  <sheetViews>
    <sheetView topLeftCell="A22" zoomScale="140" zoomScaleNormal="140" workbookViewId="0">
      <selection activeCell="F36" sqref="F36"/>
    </sheetView>
  </sheetViews>
  <sheetFormatPr baseColWidth="10" defaultRowHeight="14.4" x14ac:dyDescent="0.3"/>
  <cols>
    <col min="1" max="1" width="27.5546875" bestFit="1" customWidth="1"/>
    <col min="3" max="3" width="18.88671875" customWidth="1"/>
    <col min="4" max="4" width="19.21875" customWidth="1"/>
    <col min="5" max="5" width="25" customWidth="1"/>
    <col min="7" max="7" width="22.6640625" hidden="1" customWidth="1"/>
    <col min="8" max="8" width="8.109375" hidden="1" customWidth="1"/>
    <col min="9" max="9" width="10.6640625" hidden="1" customWidth="1"/>
    <col min="10" max="10" width="8.109375" hidden="1" customWidth="1"/>
    <col min="11" max="11" width="7" hidden="1" customWidth="1"/>
    <col min="12" max="12" width="12" hidden="1" customWidth="1"/>
    <col min="13" max="13" width="5.5546875" hidden="1" customWidth="1"/>
    <col min="14" max="14" width="3" hidden="1" customWidth="1"/>
    <col min="15" max="15" width="7" hidden="1" customWidth="1"/>
  </cols>
  <sheetData>
    <row r="2" spans="1:17" x14ac:dyDescent="0.3">
      <c r="I2" t="s">
        <v>9</v>
      </c>
      <c r="J2" t="s">
        <v>11</v>
      </c>
    </row>
    <row r="3" spans="1:17" ht="28.8" x14ac:dyDescent="0.3">
      <c r="A3" s="21"/>
      <c r="B3" s="44" t="s">
        <v>2</v>
      </c>
      <c r="C3" s="44" t="s">
        <v>3</v>
      </c>
      <c r="D3" s="44" t="s">
        <v>4</v>
      </c>
      <c r="E3" s="44" t="s">
        <v>5</v>
      </c>
      <c r="I3" t="s">
        <v>10</v>
      </c>
      <c r="J3">
        <f>72500/25</f>
        <v>2900</v>
      </c>
      <c r="K3">
        <f>32000/0.2</f>
        <v>160000</v>
      </c>
    </row>
    <row r="4" spans="1:17" x14ac:dyDescent="0.3">
      <c r="A4" s="21" t="s">
        <v>1</v>
      </c>
      <c r="B4" s="21">
        <v>15000</v>
      </c>
      <c r="C4" s="21">
        <v>43000</v>
      </c>
      <c r="D4" s="21">
        <v>72500.000000000015</v>
      </c>
      <c r="E4" s="21">
        <v>83000</v>
      </c>
    </row>
    <row r="5" spans="1:17" x14ac:dyDescent="0.3">
      <c r="A5" s="21" t="s">
        <v>0</v>
      </c>
      <c r="B5" s="21"/>
      <c r="C5" s="22">
        <v>0.3</v>
      </c>
      <c r="D5" s="22">
        <v>0.5</v>
      </c>
      <c r="E5" s="22">
        <v>0.2</v>
      </c>
      <c r="H5" t="s">
        <v>24</v>
      </c>
      <c r="I5">
        <v>3200</v>
      </c>
      <c r="J5">
        <f>L5*18/60</f>
        <v>3000</v>
      </c>
      <c r="L5">
        <v>10000</v>
      </c>
      <c r="M5" t="s">
        <v>26</v>
      </c>
      <c r="N5">
        <v>32</v>
      </c>
      <c r="O5">
        <f>L5*N5</f>
        <v>320000</v>
      </c>
    </row>
    <row r="6" spans="1:17" x14ac:dyDescent="0.3">
      <c r="A6" s="21"/>
      <c r="B6" s="21">
        <f>-15000</f>
        <v>-15000</v>
      </c>
      <c r="C6" s="21">
        <f>$B$4*C5</f>
        <v>4500</v>
      </c>
      <c r="D6" s="21">
        <f t="shared" ref="D6:E6" si="0">$B$4*D5</f>
        <v>7500</v>
      </c>
      <c r="E6" s="21">
        <f t="shared" si="0"/>
        <v>3000</v>
      </c>
      <c r="H6" t="s">
        <v>25</v>
      </c>
      <c r="I6">
        <v>1550</v>
      </c>
      <c r="J6">
        <f>30000*5/60</f>
        <v>2500</v>
      </c>
      <c r="L6">
        <v>30000</v>
      </c>
      <c r="M6" t="s">
        <v>27</v>
      </c>
      <c r="N6">
        <v>18</v>
      </c>
      <c r="O6">
        <f>L6*N6</f>
        <v>540000</v>
      </c>
    </row>
    <row r="7" spans="1:17" x14ac:dyDescent="0.3">
      <c r="A7" s="45" t="s">
        <v>6</v>
      </c>
      <c r="B7" s="45">
        <f>B4+B6</f>
        <v>0</v>
      </c>
      <c r="C7" s="45">
        <f t="shared" ref="C7:E7" si="1">C4+C6</f>
        <v>47500</v>
      </c>
      <c r="D7" s="45">
        <f t="shared" si="1"/>
        <v>80000.000000000015</v>
      </c>
      <c r="E7" s="45">
        <f t="shared" si="1"/>
        <v>86000</v>
      </c>
      <c r="I7" s="10">
        <v>35</v>
      </c>
      <c r="J7">
        <f>J5+J6</f>
        <v>5500</v>
      </c>
    </row>
    <row r="8" spans="1:17" ht="28.8" x14ac:dyDescent="0.3">
      <c r="A8" s="46" t="s">
        <v>7</v>
      </c>
      <c r="B8" s="46"/>
      <c r="C8" s="47" t="s">
        <v>66</v>
      </c>
      <c r="D8" s="47" t="s">
        <v>8</v>
      </c>
      <c r="E8" s="47" t="s">
        <v>65</v>
      </c>
    </row>
    <row r="9" spans="1:17" x14ac:dyDescent="0.3">
      <c r="A9" s="45" t="s">
        <v>63</v>
      </c>
      <c r="B9" s="45"/>
      <c r="C9" s="45">
        <v>4750</v>
      </c>
      <c r="D9" s="45">
        <f>L5+L6</f>
        <v>40000</v>
      </c>
      <c r="E9" s="45">
        <f>N5*L5+N6*L6</f>
        <v>860000</v>
      </c>
    </row>
    <row r="10" spans="1:17" x14ac:dyDescent="0.3">
      <c r="A10" s="45" t="s">
        <v>64</v>
      </c>
      <c r="B10" s="45"/>
      <c r="C10" s="48">
        <f>C7/C9</f>
        <v>10</v>
      </c>
      <c r="D10" s="48">
        <f t="shared" ref="D10:E10" si="2">D7/D9</f>
        <v>2.0000000000000004</v>
      </c>
      <c r="E10" s="48">
        <f t="shared" si="2"/>
        <v>0.1</v>
      </c>
    </row>
    <row r="11" spans="1:17" ht="15" thickBot="1" x14ac:dyDescent="0.35"/>
    <row r="12" spans="1:17" ht="15" thickBot="1" x14ac:dyDescent="0.35">
      <c r="A12" s="7"/>
      <c r="B12" s="34" t="s">
        <v>9</v>
      </c>
      <c r="C12" s="35"/>
      <c r="D12" s="36"/>
      <c r="L12">
        <v>80000</v>
      </c>
    </row>
    <row r="13" spans="1:17" x14ac:dyDescent="0.3">
      <c r="A13" s="11"/>
      <c r="B13" s="12" t="s">
        <v>12</v>
      </c>
      <c r="C13" s="12" t="s">
        <v>13</v>
      </c>
      <c r="D13" s="12" t="s">
        <v>14</v>
      </c>
      <c r="L13">
        <f>J7</f>
        <v>5500</v>
      </c>
    </row>
    <row r="14" spans="1:17" x14ac:dyDescent="0.3">
      <c r="A14" s="11" t="s">
        <v>15</v>
      </c>
      <c r="B14" s="13">
        <v>4750</v>
      </c>
      <c r="C14" s="14">
        <v>35</v>
      </c>
      <c r="D14" s="14">
        <f>B14*C14</f>
        <v>166250</v>
      </c>
      <c r="L14">
        <f>L12/L13</f>
        <v>14.545454545454545</v>
      </c>
    </row>
    <row r="15" spans="1:17" x14ac:dyDescent="0.3">
      <c r="A15" s="11" t="s">
        <v>16</v>
      </c>
      <c r="B15" s="11">
        <v>4750</v>
      </c>
      <c r="C15" s="15">
        <f>C10</f>
        <v>10</v>
      </c>
      <c r="D15" s="16">
        <f>B15*C15</f>
        <v>47500</v>
      </c>
    </row>
    <row r="16" spans="1:17" x14ac:dyDescent="0.3">
      <c r="A16" s="17" t="s">
        <v>17</v>
      </c>
      <c r="B16" s="18">
        <f>B15</f>
        <v>4750</v>
      </c>
      <c r="C16" s="19">
        <f>D16/B16</f>
        <v>45</v>
      </c>
      <c r="D16" s="19">
        <f>SUM(D14:D15)</f>
        <v>213750</v>
      </c>
      <c r="P16" s="10">
        <v>23</v>
      </c>
      <c r="Q16" t="s">
        <v>67</v>
      </c>
    </row>
    <row r="17" spans="1:17" ht="15" thickBot="1" x14ac:dyDescent="0.35">
      <c r="P17">
        <f>23/60*18</f>
        <v>6.9</v>
      </c>
      <c r="Q17" t="s">
        <v>26</v>
      </c>
    </row>
    <row r="18" spans="1:17" ht="15" thickBot="1" x14ac:dyDescent="0.35">
      <c r="A18" s="7"/>
      <c r="B18" s="34" t="s">
        <v>24</v>
      </c>
      <c r="C18" s="35"/>
      <c r="D18" s="36"/>
      <c r="H18" t="s">
        <v>24</v>
      </c>
    </row>
    <row r="19" spans="1:17" ht="15" thickBot="1" x14ac:dyDescent="0.35">
      <c r="A19" s="1"/>
      <c r="B19" s="2" t="s">
        <v>12</v>
      </c>
      <c r="C19" s="2" t="s">
        <v>13</v>
      </c>
      <c r="D19" s="2" t="s">
        <v>14</v>
      </c>
      <c r="H19" t="s">
        <v>12</v>
      </c>
      <c r="I19" t="s">
        <v>13</v>
      </c>
      <c r="J19" t="s">
        <v>14</v>
      </c>
    </row>
    <row r="20" spans="1:17" ht="15" thickBot="1" x14ac:dyDescent="0.35">
      <c r="A20" s="1" t="s">
        <v>18</v>
      </c>
      <c r="B20" s="3">
        <v>3200</v>
      </c>
      <c r="C20" s="8">
        <f t="shared" ref="C20:D20" si="3">C16</f>
        <v>45</v>
      </c>
      <c r="D20" s="8">
        <f>B20*C20</f>
        <v>144000</v>
      </c>
      <c r="G20" t="s">
        <v>18</v>
      </c>
      <c r="H20">
        <v>3200</v>
      </c>
      <c r="I20">
        <v>45</v>
      </c>
      <c r="J20">
        <v>144000</v>
      </c>
    </row>
    <row r="21" spans="1:17" ht="15" thickBot="1" x14ac:dyDescent="0.35">
      <c r="A21" s="52" t="s">
        <v>11</v>
      </c>
      <c r="B21" s="49">
        <f>18*10000/60</f>
        <v>3000</v>
      </c>
      <c r="C21" s="50">
        <v>23</v>
      </c>
      <c r="D21" s="51">
        <f>B21*C21</f>
        <v>69000</v>
      </c>
      <c r="G21" t="s">
        <v>11</v>
      </c>
      <c r="H21">
        <v>3000</v>
      </c>
      <c r="I21">
        <v>23</v>
      </c>
      <c r="J21">
        <f>H21*I21</f>
        <v>69000</v>
      </c>
    </row>
    <row r="22" spans="1:17" ht="15" thickBot="1" x14ac:dyDescent="0.35">
      <c r="A22" s="53" t="s">
        <v>19</v>
      </c>
      <c r="B22" s="54">
        <v>10000</v>
      </c>
      <c r="C22" s="55">
        <f>D10</f>
        <v>2.0000000000000004</v>
      </c>
      <c r="D22" s="56">
        <f>B22*C22</f>
        <v>20000.000000000004</v>
      </c>
      <c r="G22" t="s">
        <v>19</v>
      </c>
      <c r="H22">
        <f>3000</f>
        <v>3000</v>
      </c>
      <c r="I22">
        <f>14.54</f>
        <v>14.54</v>
      </c>
      <c r="J22">
        <f>H22*I22</f>
        <v>43620</v>
      </c>
    </row>
    <row r="23" spans="1:17" ht="15" thickBot="1" x14ac:dyDescent="0.35">
      <c r="A23" s="4" t="s">
        <v>20</v>
      </c>
      <c r="B23" s="5">
        <v>10000</v>
      </c>
      <c r="C23" s="6">
        <f>D23/B23</f>
        <v>23.3</v>
      </c>
      <c r="D23" s="6">
        <f>SUM(D20:D22)</f>
        <v>233000</v>
      </c>
      <c r="G23" t="s">
        <v>20</v>
      </c>
      <c r="H23">
        <v>10000</v>
      </c>
      <c r="I23">
        <f>J23/H23</f>
        <v>25.661999999999999</v>
      </c>
      <c r="J23">
        <f>SUM(J20:J22)</f>
        <v>256620</v>
      </c>
    </row>
    <row r="24" spans="1:17" ht="15" thickBot="1" x14ac:dyDescent="0.35"/>
    <row r="25" spans="1:17" ht="15" thickBot="1" x14ac:dyDescent="0.35">
      <c r="A25" s="7"/>
      <c r="B25" s="34" t="str">
        <f>B18</f>
        <v>Ceinture</v>
      </c>
      <c r="C25" s="35"/>
      <c r="D25" s="36"/>
      <c r="H25" t="s">
        <v>24</v>
      </c>
    </row>
    <row r="26" spans="1:17" ht="15" thickBot="1" x14ac:dyDescent="0.35">
      <c r="A26" s="1"/>
      <c r="B26" s="2" t="s">
        <v>12</v>
      </c>
      <c r="C26" s="2" t="s">
        <v>13</v>
      </c>
      <c r="D26" s="2" t="s">
        <v>14</v>
      </c>
      <c r="H26" t="s">
        <v>12</v>
      </c>
      <c r="I26" t="s">
        <v>13</v>
      </c>
      <c r="J26" t="s">
        <v>14</v>
      </c>
    </row>
    <row r="27" spans="1:17" ht="15" thickBot="1" x14ac:dyDescent="0.35">
      <c r="A27" s="1" t="s">
        <v>21</v>
      </c>
      <c r="B27" s="3">
        <f>B23</f>
        <v>10000</v>
      </c>
      <c r="C27" s="8">
        <f t="shared" ref="C27:D27" si="4">C23</f>
        <v>23.3</v>
      </c>
      <c r="D27" s="8">
        <f t="shared" si="4"/>
        <v>233000</v>
      </c>
      <c r="G27" t="s">
        <v>21</v>
      </c>
      <c r="H27">
        <v>10000</v>
      </c>
      <c r="I27">
        <v>24.2</v>
      </c>
      <c r="J27">
        <f>J23</f>
        <v>256620</v>
      </c>
    </row>
    <row r="28" spans="1:17" ht="15" thickBot="1" x14ac:dyDescent="0.35">
      <c r="A28" s="1" t="s">
        <v>28</v>
      </c>
      <c r="B28" s="3">
        <f>L5*32</f>
        <v>320000</v>
      </c>
      <c r="C28" s="20">
        <v>0.08</v>
      </c>
      <c r="D28" s="8">
        <f>B28*C28</f>
        <v>25600</v>
      </c>
      <c r="G28" t="s">
        <v>28</v>
      </c>
      <c r="H28">
        <v>320000</v>
      </c>
      <c r="I28">
        <v>0.08</v>
      </c>
      <c r="J28">
        <f>H28*I28</f>
        <v>25600</v>
      </c>
    </row>
    <row r="29" spans="1:17" ht="15" thickBot="1" x14ac:dyDescent="0.35">
      <c r="A29" s="1" t="s">
        <v>22</v>
      </c>
      <c r="B29" s="3">
        <f>B28</f>
        <v>320000</v>
      </c>
      <c r="C29" s="8">
        <f>E10</f>
        <v>0.1</v>
      </c>
      <c r="D29" s="8">
        <f>B29*C29</f>
        <v>32000</v>
      </c>
      <c r="G29" t="s">
        <v>22</v>
      </c>
      <c r="H29">
        <v>320000</v>
      </c>
      <c r="I29">
        <v>0.1</v>
      </c>
      <c r="J29">
        <v>32000</v>
      </c>
    </row>
    <row r="30" spans="1:17" ht="15" thickBot="1" x14ac:dyDescent="0.35">
      <c r="A30" s="4" t="s">
        <v>23</v>
      </c>
      <c r="B30" s="5">
        <v>10000</v>
      </c>
      <c r="C30" s="9">
        <f>D30/B30</f>
        <v>29.06</v>
      </c>
      <c r="D30" s="6">
        <f>SUM(D27:D29)</f>
        <v>290600</v>
      </c>
      <c r="G30" t="s">
        <v>23</v>
      </c>
      <c r="H30">
        <v>10000</v>
      </c>
      <c r="I30">
        <f>J30/H30</f>
        <v>31.422000000000001</v>
      </c>
      <c r="J30">
        <f>SUM(J27:J29)</f>
        <v>314220</v>
      </c>
    </row>
    <row r="32" spans="1:17" x14ac:dyDescent="0.3">
      <c r="F32" t="s">
        <v>68</v>
      </c>
    </row>
    <row r="33" spans="1:17" x14ac:dyDescent="0.3">
      <c r="A33" s="57" t="s">
        <v>68</v>
      </c>
      <c r="B33" s="57">
        <v>10000</v>
      </c>
      <c r="C33" s="58">
        <v>2</v>
      </c>
      <c r="D33" s="58">
        <f>B33*C33</f>
        <v>20000</v>
      </c>
      <c r="F33" s="10">
        <v>80000</v>
      </c>
    </row>
    <row r="34" spans="1:17" x14ac:dyDescent="0.3">
      <c r="F34" t="s">
        <v>69</v>
      </c>
    </row>
    <row r="35" spans="1:17" x14ac:dyDescent="0.3">
      <c r="A35" s="59" t="s">
        <v>68</v>
      </c>
      <c r="B35" s="60">
        <v>3000</v>
      </c>
      <c r="C35" s="59">
        <v>14.55</v>
      </c>
      <c r="D35" s="59">
        <f>B35*C35</f>
        <v>43650</v>
      </c>
      <c r="F35">
        <f>Q36+Q37</f>
        <v>5500</v>
      </c>
    </row>
    <row r="36" spans="1:17" x14ac:dyDescent="0.3">
      <c r="F36" s="59">
        <f>F33/F35</f>
        <v>14.545454545454545</v>
      </c>
      <c r="P36" t="s">
        <v>24</v>
      </c>
      <c r="Q36">
        <v>3000</v>
      </c>
    </row>
    <row r="37" spans="1:17" x14ac:dyDescent="0.3">
      <c r="D37" s="31">
        <f>D35-D33</f>
        <v>23650</v>
      </c>
      <c r="P37" t="s">
        <v>70</v>
      </c>
      <c r="Q37">
        <f>5*30000/60</f>
        <v>2500</v>
      </c>
    </row>
    <row r="38" spans="1:17" x14ac:dyDescent="0.3">
      <c r="D38">
        <v>10000</v>
      </c>
    </row>
    <row r="39" spans="1:17" x14ac:dyDescent="0.3">
      <c r="D39" s="31">
        <f>D37/D38</f>
        <v>2.3650000000000002</v>
      </c>
    </row>
    <row r="40" spans="1:17" x14ac:dyDescent="0.3">
      <c r="D40" s="31"/>
    </row>
  </sheetData>
  <mergeCells count="3">
    <mergeCell ref="B18:D18"/>
    <mergeCell ref="B25:D25"/>
    <mergeCell ref="B12:D1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11AFC-5E25-4785-9B6B-FD2975FAA5CE}">
  <dimension ref="A1:L48"/>
  <sheetViews>
    <sheetView tabSelected="1" zoomScale="150" zoomScaleNormal="150" workbookViewId="0">
      <selection activeCell="A31" sqref="A31:XFD35"/>
    </sheetView>
  </sheetViews>
  <sheetFormatPr baseColWidth="10" defaultRowHeight="14.4" x14ac:dyDescent="0.3"/>
  <cols>
    <col min="1" max="1" width="37.44140625" bestFit="1" customWidth="1"/>
    <col min="2" max="2" width="13.44140625" bestFit="1" customWidth="1"/>
    <col min="3" max="3" width="12" customWidth="1"/>
    <col min="4" max="4" width="15.6640625" customWidth="1"/>
    <col min="5" max="5" width="13.109375" customWidth="1"/>
    <col min="6" max="6" width="11.33203125" customWidth="1"/>
    <col min="7" max="7" width="23.33203125" customWidth="1"/>
    <col min="8" max="8" width="15.88671875" customWidth="1"/>
    <col min="10" max="10" width="14.33203125" bestFit="1" customWidth="1"/>
    <col min="252" max="252" width="37.44140625" bestFit="1" customWidth="1"/>
    <col min="253" max="253" width="12.44140625" customWidth="1"/>
    <col min="254" max="254" width="12" customWidth="1"/>
    <col min="255" max="255" width="15.6640625" customWidth="1"/>
    <col min="256" max="256" width="13.109375" customWidth="1"/>
    <col min="257" max="257" width="11.33203125" customWidth="1"/>
    <col min="258" max="258" width="23.33203125" customWidth="1"/>
    <col min="259" max="259" width="15.88671875" customWidth="1"/>
    <col min="261" max="261" width="14.33203125" bestFit="1" customWidth="1"/>
    <col min="508" max="508" width="37.44140625" bestFit="1" customWidth="1"/>
    <col min="509" max="509" width="12.44140625" customWidth="1"/>
    <col min="510" max="510" width="12" customWidth="1"/>
    <col min="511" max="511" width="15.6640625" customWidth="1"/>
    <col min="512" max="512" width="13.109375" customWidth="1"/>
    <col min="513" max="513" width="11.33203125" customWidth="1"/>
    <col min="514" max="514" width="23.33203125" customWidth="1"/>
    <col min="515" max="515" width="15.88671875" customWidth="1"/>
    <col min="517" max="517" width="14.33203125" bestFit="1" customWidth="1"/>
    <col min="764" max="764" width="37.44140625" bestFit="1" customWidth="1"/>
    <col min="765" max="765" width="12.44140625" customWidth="1"/>
    <col min="766" max="766" width="12" customWidth="1"/>
    <col min="767" max="767" width="15.6640625" customWidth="1"/>
    <col min="768" max="768" width="13.109375" customWidth="1"/>
    <col min="769" max="769" width="11.33203125" customWidth="1"/>
    <col min="770" max="770" width="23.33203125" customWidth="1"/>
    <col min="771" max="771" width="15.88671875" customWidth="1"/>
    <col min="773" max="773" width="14.33203125" bestFit="1" customWidth="1"/>
    <col min="1020" max="1020" width="37.44140625" bestFit="1" customWidth="1"/>
    <col min="1021" max="1021" width="12.44140625" customWidth="1"/>
    <col min="1022" max="1022" width="12" customWidth="1"/>
    <col min="1023" max="1023" width="15.6640625" customWidth="1"/>
    <col min="1024" max="1024" width="13.109375" customWidth="1"/>
    <col min="1025" max="1025" width="11.33203125" customWidth="1"/>
    <col min="1026" max="1026" width="23.33203125" customWidth="1"/>
    <col min="1027" max="1027" width="15.88671875" customWidth="1"/>
    <col min="1029" max="1029" width="14.33203125" bestFit="1" customWidth="1"/>
    <col min="1276" max="1276" width="37.44140625" bestFit="1" customWidth="1"/>
    <col min="1277" max="1277" width="12.44140625" customWidth="1"/>
    <col min="1278" max="1278" width="12" customWidth="1"/>
    <col min="1279" max="1279" width="15.6640625" customWidth="1"/>
    <col min="1280" max="1280" width="13.109375" customWidth="1"/>
    <col min="1281" max="1281" width="11.33203125" customWidth="1"/>
    <col min="1282" max="1282" width="23.33203125" customWidth="1"/>
    <col min="1283" max="1283" width="15.88671875" customWidth="1"/>
    <col min="1285" max="1285" width="14.33203125" bestFit="1" customWidth="1"/>
    <col min="1532" max="1532" width="37.44140625" bestFit="1" customWidth="1"/>
    <col min="1533" max="1533" width="12.44140625" customWidth="1"/>
    <col min="1534" max="1534" width="12" customWidth="1"/>
    <col min="1535" max="1535" width="15.6640625" customWidth="1"/>
    <col min="1536" max="1536" width="13.109375" customWidth="1"/>
    <col min="1537" max="1537" width="11.33203125" customWidth="1"/>
    <col min="1538" max="1538" width="23.33203125" customWidth="1"/>
    <col min="1539" max="1539" width="15.88671875" customWidth="1"/>
    <col min="1541" max="1541" width="14.33203125" bestFit="1" customWidth="1"/>
    <col min="1788" max="1788" width="37.44140625" bestFit="1" customWidth="1"/>
    <col min="1789" max="1789" width="12.44140625" customWidth="1"/>
    <col min="1790" max="1790" width="12" customWidth="1"/>
    <col min="1791" max="1791" width="15.6640625" customWidth="1"/>
    <col min="1792" max="1792" width="13.109375" customWidth="1"/>
    <col min="1793" max="1793" width="11.33203125" customWidth="1"/>
    <col min="1794" max="1794" width="23.33203125" customWidth="1"/>
    <col min="1795" max="1795" width="15.88671875" customWidth="1"/>
    <col min="1797" max="1797" width="14.33203125" bestFit="1" customWidth="1"/>
    <col min="2044" max="2044" width="37.44140625" bestFit="1" customWidth="1"/>
    <col min="2045" max="2045" width="12.44140625" customWidth="1"/>
    <col min="2046" max="2046" width="12" customWidth="1"/>
    <col min="2047" max="2047" width="15.6640625" customWidth="1"/>
    <col min="2048" max="2048" width="13.109375" customWidth="1"/>
    <col min="2049" max="2049" width="11.33203125" customWidth="1"/>
    <col min="2050" max="2050" width="23.33203125" customWidth="1"/>
    <col min="2051" max="2051" width="15.88671875" customWidth="1"/>
    <col min="2053" max="2053" width="14.33203125" bestFit="1" customWidth="1"/>
    <col min="2300" max="2300" width="37.44140625" bestFit="1" customWidth="1"/>
    <col min="2301" max="2301" width="12.44140625" customWidth="1"/>
    <col min="2302" max="2302" width="12" customWidth="1"/>
    <col min="2303" max="2303" width="15.6640625" customWidth="1"/>
    <col min="2304" max="2304" width="13.109375" customWidth="1"/>
    <col min="2305" max="2305" width="11.33203125" customWidth="1"/>
    <col min="2306" max="2306" width="23.33203125" customWidth="1"/>
    <col min="2307" max="2307" width="15.88671875" customWidth="1"/>
    <col min="2309" max="2309" width="14.33203125" bestFit="1" customWidth="1"/>
    <col min="2556" max="2556" width="37.44140625" bestFit="1" customWidth="1"/>
    <col min="2557" max="2557" width="12.44140625" customWidth="1"/>
    <col min="2558" max="2558" width="12" customWidth="1"/>
    <col min="2559" max="2559" width="15.6640625" customWidth="1"/>
    <col min="2560" max="2560" width="13.109375" customWidth="1"/>
    <col min="2561" max="2561" width="11.33203125" customWidth="1"/>
    <col min="2562" max="2562" width="23.33203125" customWidth="1"/>
    <col min="2563" max="2563" width="15.88671875" customWidth="1"/>
    <col min="2565" max="2565" width="14.33203125" bestFit="1" customWidth="1"/>
    <col min="2812" max="2812" width="37.44140625" bestFit="1" customWidth="1"/>
    <col min="2813" max="2813" width="12.44140625" customWidth="1"/>
    <col min="2814" max="2814" width="12" customWidth="1"/>
    <col min="2815" max="2815" width="15.6640625" customWidth="1"/>
    <col min="2816" max="2816" width="13.109375" customWidth="1"/>
    <col min="2817" max="2817" width="11.33203125" customWidth="1"/>
    <col min="2818" max="2818" width="23.33203125" customWidth="1"/>
    <col min="2819" max="2819" width="15.88671875" customWidth="1"/>
    <col min="2821" max="2821" width="14.33203125" bestFit="1" customWidth="1"/>
    <col min="3068" max="3068" width="37.44140625" bestFit="1" customWidth="1"/>
    <col min="3069" max="3069" width="12.44140625" customWidth="1"/>
    <col min="3070" max="3070" width="12" customWidth="1"/>
    <col min="3071" max="3071" width="15.6640625" customWidth="1"/>
    <col min="3072" max="3072" width="13.109375" customWidth="1"/>
    <col min="3073" max="3073" width="11.33203125" customWidth="1"/>
    <col min="3074" max="3074" width="23.33203125" customWidth="1"/>
    <col min="3075" max="3075" width="15.88671875" customWidth="1"/>
    <col min="3077" max="3077" width="14.33203125" bestFit="1" customWidth="1"/>
    <col min="3324" max="3324" width="37.44140625" bestFit="1" customWidth="1"/>
    <col min="3325" max="3325" width="12.44140625" customWidth="1"/>
    <col min="3326" max="3326" width="12" customWidth="1"/>
    <col min="3327" max="3327" width="15.6640625" customWidth="1"/>
    <col min="3328" max="3328" width="13.109375" customWidth="1"/>
    <col min="3329" max="3329" width="11.33203125" customWidth="1"/>
    <col min="3330" max="3330" width="23.33203125" customWidth="1"/>
    <col min="3331" max="3331" width="15.88671875" customWidth="1"/>
    <col min="3333" max="3333" width="14.33203125" bestFit="1" customWidth="1"/>
    <col min="3580" max="3580" width="37.44140625" bestFit="1" customWidth="1"/>
    <col min="3581" max="3581" width="12.44140625" customWidth="1"/>
    <col min="3582" max="3582" width="12" customWidth="1"/>
    <col min="3583" max="3583" width="15.6640625" customWidth="1"/>
    <col min="3584" max="3584" width="13.109375" customWidth="1"/>
    <col min="3585" max="3585" width="11.33203125" customWidth="1"/>
    <col min="3586" max="3586" width="23.33203125" customWidth="1"/>
    <col min="3587" max="3587" width="15.88671875" customWidth="1"/>
    <col min="3589" max="3589" width="14.33203125" bestFit="1" customWidth="1"/>
    <col min="3836" max="3836" width="37.44140625" bestFit="1" customWidth="1"/>
    <col min="3837" max="3837" width="12.44140625" customWidth="1"/>
    <col min="3838" max="3838" width="12" customWidth="1"/>
    <col min="3839" max="3839" width="15.6640625" customWidth="1"/>
    <col min="3840" max="3840" width="13.109375" customWidth="1"/>
    <col min="3841" max="3841" width="11.33203125" customWidth="1"/>
    <col min="3842" max="3842" width="23.33203125" customWidth="1"/>
    <col min="3843" max="3843" width="15.88671875" customWidth="1"/>
    <col min="3845" max="3845" width="14.33203125" bestFit="1" customWidth="1"/>
    <col min="4092" max="4092" width="37.44140625" bestFit="1" customWidth="1"/>
    <col min="4093" max="4093" width="12.44140625" customWidth="1"/>
    <col min="4094" max="4094" width="12" customWidth="1"/>
    <col min="4095" max="4095" width="15.6640625" customWidth="1"/>
    <col min="4096" max="4096" width="13.109375" customWidth="1"/>
    <col min="4097" max="4097" width="11.33203125" customWidth="1"/>
    <col min="4098" max="4098" width="23.33203125" customWidth="1"/>
    <col min="4099" max="4099" width="15.88671875" customWidth="1"/>
    <col min="4101" max="4101" width="14.33203125" bestFit="1" customWidth="1"/>
    <col min="4348" max="4348" width="37.44140625" bestFit="1" customWidth="1"/>
    <col min="4349" max="4349" width="12.44140625" customWidth="1"/>
    <col min="4350" max="4350" width="12" customWidth="1"/>
    <col min="4351" max="4351" width="15.6640625" customWidth="1"/>
    <col min="4352" max="4352" width="13.109375" customWidth="1"/>
    <col min="4353" max="4353" width="11.33203125" customWidth="1"/>
    <col min="4354" max="4354" width="23.33203125" customWidth="1"/>
    <col min="4355" max="4355" width="15.88671875" customWidth="1"/>
    <col min="4357" max="4357" width="14.33203125" bestFit="1" customWidth="1"/>
    <col min="4604" max="4604" width="37.44140625" bestFit="1" customWidth="1"/>
    <col min="4605" max="4605" width="12.44140625" customWidth="1"/>
    <col min="4606" max="4606" width="12" customWidth="1"/>
    <col min="4607" max="4607" width="15.6640625" customWidth="1"/>
    <col min="4608" max="4608" width="13.109375" customWidth="1"/>
    <col min="4609" max="4609" width="11.33203125" customWidth="1"/>
    <col min="4610" max="4610" width="23.33203125" customWidth="1"/>
    <col min="4611" max="4611" width="15.88671875" customWidth="1"/>
    <col min="4613" max="4613" width="14.33203125" bestFit="1" customWidth="1"/>
    <col min="4860" max="4860" width="37.44140625" bestFit="1" customWidth="1"/>
    <col min="4861" max="4861" width="12.44140625" customWidth="1"/>
    <col min="4862" max="4862" width="12" customWidth="1"/>
    <col min="4863" max="4863" width="15.6640625" customWidth="1"/>
    <col min="4864" max="4864" width="13.109375" customWidth="1"/>
    <col min="4865" max="4865" width="11.33203125" customWidth="1"/>
    <col min="4866" max="4866" width="23.33203125" customWidth="1"/>
    <col min="4867" max="4867" width="15.88671875" customWidth="1"/>
    <col min="4869" max="4869" width="14.33203125" bestFit="1" customWidth="1"/>
    <col min="5116" max="5116" width="37.44140625" bestFit="1" customWidth="1"/>
    <col min="5117" max="5117" width="12.44140625" customWidth="1"/>
    <col min="5118" max="5118" width="12" customWidth="1"/>
    <col min="5119" max="5119" width="15.6640625" customWidth="1"/>
    <col min="5120" max="5120" width="13.109375" customWidth="1"/>
    <col min="5121" max="5121" width="11.33203125" customWidth="1"/>
    <col min="5122" max="5122" width="23.33203125" customWidth="1"/>
    <col min="5123" max="5123" width="15.88671875" customWidth="1"/>
    <col min="5125" max="5125" width="14.33203125" bestFit="1" customWidth="1"/>
    <col min="5372" max="5372" width="37.44140625" bestFit="1" customWidth="1"/>
    <col min="5373" max="5373" width="12.44140625" customWidth="1"/>
    <col min="5374" max="5374" width="12" customWidth="1"/>
    <col min="5375" max="5375" width="15.6640625" customWidth="1"/>
    <col min="5376" max="5376" width="13.109375" customWidth="1"/>
    <col min="5377" max="5377" width="11.33203125" customWidth="1"/>
    <col min="5378" max="5378" width="23.33203125" customWidth="1"/>
    <col min="5379" max="5379" width="15.88671875" customWidth="1"/>
    <col min="5381" max="5381" width="14.33203125" bestFit="1" customWidth="1"/>
    <col min="5628" max="5628" width="37.44140625" bestFit="1" customWidth="1"/>
    <col min="5629" max="5629" width="12.44140625" customWidth="1"/>
    <col min="5630" max="5630" width="12" customWidth="1"/>
    <col min="5631" max="5631" width="15.6640625" customWidth="1"/>
    <col min="5632" max="5632" width="13.109375" customWidth="1"/>
    <col min="5633" max="5633" width="11.33203125" customWidth="1"/>
    <col min="5634" max="5634" width="23.33203125" customWidth="1"/>
    <col min="5635" max="5635" width="15.88671875" customWidth="1"/>
    <col min="5637" max="5637" width="14.33203125" bestFit="1" customWidth="1"/>
    <col min="5884" max="5884" width="37.44140625" bestFit="1" customWidth="1"/>
    <col min="5885" max="5885" width="12.44140625" customWidth="1"/>
    <col min="5886" max="5886" width="12" customWidth="1"/>
    <col min="5887" max="5887" width="15.6640625" customWidth="1"/>
    <col min="5888" max="5888" width="13.109375" customWidth="1"/>
    <col min="5889" max="5889" width="11.33203125" customWidth="1"/>
    <col min="5890" max="5890" width="23.33203125" customWidth="1"/>
    <col min="5891" max="5891" width="15.88671875" customWidth="1"/>
    <col min="5893" max="5893" width="14.33203125" bestFit="1" customWidth="1"/>
    <col min="6140" max="6140" width="37.44140625" bestFit="1" customWidth="1"/>
    <col min="6141" max="6141" width="12.44140625" customWidth="1"/>
    <col min="6142" max="6142" width="12" customWidth="1"/>
    <col min="6143" max="6143" width="15.6640625" customWidth="1"/>
    <col min="6144" max="6144" width="13.109375" customWidth="1"/>
    <col min="6145" max="6145" width="11.33203125" customWidth="1"/>
    <col min="6146" max="6146" width="23.33203125" customWidth="1"/>
    <col min="6147" max="6147" width="15.88671875" customWidth="1"/>
    <col min="6149" max="6149" width="14.33203125" bestFit="1" customWidth="1"/>
    <col min="6396" max="6396" width="37.44140625" bestFit="1" customWidth="1"/>
    <col min="6397" max="6397" width="12.44140625" customWidth="1"/>
    <col min="6398" max="6398" width="12" customWidth="1"/>
    <col min="6399" max="6399" width="15.6640625" customWidth="1"/>
    <col min="6400" max="6400" width="13.109375" customWidth="1"/>
    <col min="6401" max="6401" width="11.33203125" customWidth="1"/>
    <col min="6402" max="6402" width="23.33203125" customWidth="1"/>
    <col min="6403" max="6403" width="15.88671875" customWidth="1"/>
    <col min="6405" max="6405" width="14.33203125" bestFit="1" customWidth="1"/>
    <col min="6652" max="6652" width="37.44140625" bestFit="1" customWidth="1"/>
    <col min="6653" max="6653" width="12.44140625" customWidth="1"/>
    <col min="6654" max="6654" width="12" customWidth="1"/>
    <col min="6655" max="6655" width="15.6640625" customWidth="1"/>
    <col min="6656" max="6656" width="13.109375" customWidth="1"/>
    <col min="6657" max="6657" width="11.33203125" customWidth="1"/>
    <col min="6658" max="6658" width="23.33203125" customWidth="1"/>
    <col min="6659" max="6659" width="15.88671875" customWidth="1"/>
    <col min="6661" max="6661" width="14.33203125" bestFit="1" customWidth="1"/>
    <col min="6908" max="6908" width="37.44140625" bestFit="1" customWidth="1"/>
    <col min="6909" max="6909" width="12.44140625" customWidth="1"/>
    <col min="6910" max="6910" width="12" customWidth="1"/>
    <col min="6911" max="6911" width="15.6640625" customWidth="1"/>
    <col min="6912" max="6912" width="13.109375" customWidth="1"/>
    <col min="6913" max="6913" width="11.33203125" customWidth="1"/>
    <col min="6914" max="6914" width="23.33203125" customWidth="1"/>
    <col min="6915" max="6915" width="15.88671875" customWidth="1"/>
    <col min="6917" max="6917" width="14.33203125" bestFit="1" customWidth="1"/>
    <col min="7164" max="7164" width="37.44140625" bestFit="1" customWidth="1"/>
    <col min="7165" max="7165" width="12.44140625" customWidth="1"/>
    <col min="7166" max="7166" width="12" customWidth="1"/>
    <col min="7167" max="7167" width="15.6640625" customWidth="1"/>
    <col min="7168" max="7168" width="13.109375" customWidth="1"/>
    <col min="7169" max="7169" width="11.33203125" customWidth="1"/>
    <col min="7170" max="7170" width="23.33203125" customWidth="1"/>
    <col min="7171" max="7171" width="15.88671875" customWidth="1"/>
    <col min="7173" max="7173" width="14.33203125" bestFit="1" customWidth="1"/>
    <col min="7420" max="7420" width="37.44140625" bestFit="1" customWidth="1"/>
    <col min="7421" max="7421" width="12.44140625" customWidth="1"/>
    <col min="7422" max="7422" width="12" customWidth="1"/>
    <col min="7423" max="7423" width="15.6640625" customWidth="1"/>
    <col min="7424" max="7424" width="13.109375" customWidth="1"/>
    <col min="7425" max="7425" width="11.33203125" customWidth="1"/>
    <col min="7426" max="7426" width="23.33203125" customWidth="1"/>
    <col min="7427" max="7427" width="15.88671875" customWidth="1"/>
    <col min="7429" max="7429" width="14.33203125" bestFit="1" customWidth="1"/>
    <col min="7676" max="7676" width="37.44140625" bestFit="1" customWidth="1"/>
    <col min="7677" max="7677" width="12.44140625" customWidth="1"/>
    <col min="7678" max="7678" width="12" customWidth="1"/>
    <col min="7679" max="7679" width="15.6640625" customWidth="1"/>
    <col min="7680" max="7680" width="13.109375" customWidth="1"/>
    <col min="7681" max="7681" width="11.33203125" customWidth="1"/>
    <col min="7682" max="7682" width="23.33203125" customWidth="1"/>
    <col min="7683" max="7683" width="15.88671875" customWidth="1"/>
    <col min="7685" max="7685" width="14.33203125" bestFit="1" customWidth="1"/>
    <col min="7932" max="7932" width="37.44140625" bestFit="1" customWidth="1"/>
    <col min="7933" max="7933" width="12.44140625" customWidth="1"/>
    <col min="7934" max="7934" width="12" customWidth="1"/>
    <col min="7935" max="7935" width="15.6640625" customWidth="1"/>
    <col min="7936" max="7936" width="13.109375" customWidth="1"/>
    <col min="7937" max="7937" width="11.33203125" customWidth="1"/>
    <col min="7938" max="7938" width="23.33203125" customWidth="1"/>
    <col min="7939" max="7939" width="15.88671875" customWidth="1"/>
    <col min="7941" max="7941" width="14.33203125" bestFit="1" customWidth="1"/>
    <col min="8188" max="8188" width="37.44140625" bestFit="1" customWidth="1"/>
    <col min="8189" max="8189" width="12.44140625" customWidth="1"/>
    <col min="8190" max="8190" width="12" customWidth="1"/>
    <col min="8191" max="8191" width="15.6640625" customWidth="1"/>
    <col min="8192" max="8192" width="13.109375" customWidth="1"/>
    <col min="8193" max="8193" width="11.33203125" customWidth="1"/>
    <col min="8194" max="8194" width="23.33203125" customWidth="1"/>
    <col min="8195" max="8195" width="15.88671875" customWidth="1"/>
    <col min="8197" max="8197" width="14.33203125" bestFit="1" customWidth="1"/>
    <col min="8444" max="8444" width="37.44140625" bestFit="1" customWidth="1"/>
    <col min="8445" max="8445" width="12.44140625" customWidth="1"/>
    <col min="8446" max="8446" width="12" customWidth="1"/>
    <col min="8447" max="8447" width="15.6640625" customWidth="1"/>
    <col min="8448" max="8448" width="13.109375" customWidth="1"/>
    <col min="8449" max="8449" width="11.33203125" customWidth="1"/>
    <col min="8450" max="8450" width="23.33203125" customWidth="1"/>
    <col min="8451" max="8451" width="15.88671875" customWidth="1"/>
    <col min="8453" max="8453" width="14.33203125" bestFit="1" customWidth="1"/>
    <col min="8700" max="8700" width="37.44140625" bestFit="1" customWidth="1"/>
    <col min="8701" max="8701" width="12.44140625" customWidth="1"/>
    <col min="8702" max="8702" width="12" customWidth="1"/>
    <col min="8703" max="8703" width="15.6640625" customWidth="1"/>
    <col min="8704" max="8704" width="13.109375" customWidth="1"/>
    <col min="8705" max="8705" width="11.33203125" customWidth="1"/>
    <col min="8706" max="8706" width="23.33203125" customWidth="1"/>
    <col min="8707" max="8707" width="15.88671875" customWidth="1"/>
    <col min="8709" max="8709" width="14.33203125" bestFit="1" customWidth="1"/>
    <col min="8956" max="8956" width="37.44140625" bestFit="1" customWidth="1"/>
    <col min="8957" max="8957" width="12.44140625" customWidth="1"/>
    <col min="8958" max="8958" width="12" customWidth="1"/>
    <col min="8959" max="8959" width="15.6640625" customWidth="1"/>
    <col min="8960" max="8960" width="13.109375" customWidth="1"/>
    <col min="8961" max="8961" width="11.33203125" customWidth="1"/>
    <col min="8962" max="8962" width="23.33203125" customWidth="1"/>
    <col min="8963" max="8963" width="15.88671875" customWidth="1"/>
    <col min="8965" max="8965" width="14.33203125" bestFit="1" customWidth="1"/>
    <col min="9212" max="9212" width="37.44140625" bestFit="1" customWidth="1"/>
    <col min="9213" max="9213" width="12.44140625" customWidth="1"/>
    <col min="9214" max="9214" width="12" customWidth="1"/>
    <col min="9215" max="9215" width="15.6640625" customWidth="1"/>
    <col min="9216" max="9216" width="13.109375" customWidth="1"/>
    <col min="9217" max="9217" width="11.33203125" customWidth="1"/>
    <col min="9218" max="9218" width="23.33203125" customWidth="1"/>
    <col min="9219" max="9219" width="15.88671875" customWidth="1"/>
    <col min="9221" max="9221" width="14.33203125" bestFit="1" customWidth="1"/>
    <col min="9468" max="9468" width="37.44140625" bestFit="1" customWidth="1"/>
    <col min="9469" max="9469" width="12.44140625" customWidth="1"/>
    <col min="9470" max="9470" width="12" customWidth="1"/>
    <col min="9471" max="9471" width="15.6640625" customWidth="1"/>
    <col min="9472" max="9472" width="13.109375" customWidth="1"/>
    <col min="9473" max="9473" width="11.33203125" customWidth="1"/>
    <col min="9474" max="9474" width="23.33203125" customWidth="1"/>
    <col min="9475" max="9475" width="15.88671875" customWidth="1"/>
    <col min="9477" max="9477" width="14.33203125" bestFit="1" customWidth="1"/>
    <col min="9724" max="9724" width="37.44140625" bestFit="1" customWidth="1"/>
    <col min="9725" max="9725" width="12.44140625" customWidth="1"/>
    <col min="9726" max="9726" width="12" customWidth="1"/>
    <col min="9727" max="9727" width="15.6640625" customWidth="1"/>
    <col min="9728" max="9728" width="13.109375" customWidth="1"/>
    <col min="9729" max="9729" width="11.33203125" customWidth="1"/>
    <col min="9730" max="9730" width="23.33203125" customWidth="1"/>
    <col min="9731" max="9731" width="15.88671875" customWidth="1"/>
    <col min="9733" max="9733" width="14.33203125" bestFit="1" customWidth="1"/>
    <col min="9980" max="9980" width="37.44140625" bestFit="1" customWidth="1"/>
    <col min="9981" max="9981" width="12.44140625" customWidth="1"/>
    <col min="9982" max="9982" width="12" customWidth="1"/>
    <col min="9983" max="9983" width="15.6640625" customWidth="1"/>
    <col min="9984" max="9984" width="13.109375" customWidth="1"/>
    <col min="9985" max="9985" width="11.33203125" customWidth="1"/>
    <col min="9986" max="9986" width="23.33203125" customWidth="1"/>
    <col min="9987" max="9987" width="15.88671875" customWidth="1"/>
    <col min="9989" max="9989" width="14.33203125" bestFit="1" customWidth="1"/>
    <col min="10236" max="10236" width="37.44140625" bestFit="1" customWidth="1"/>
    <col min="10237" max="10237" width="12.44140625" customWidth="1"/>
    <col min="10238" max="10238" width="12" customWidth="1"/>
    <col min="10239" max="10239" width="15.6640625" customWidth="1"/>
    <col min="10240" max="10240" width="13.109375" customWidth="1"/>
    <col min="10241" max="10241" width="11.33203125" customWidth="1"/>
    <col min="10242" max="10242" width="23.33203125" customWidth="1"/>
    <col min="10243" max="10243" width="15.88671875" customWidth="1"/>
    <col min="10245" max="10245" width="14.33203125" bestFit="1" customWidth="1"/>
    <col min="10492" max="10492" width="37.44140625" bestFit="1" customWidth="1"/>
    <col min="10493" max="10493" width="12.44140625" customWidth="1"/>
    <col min="10494" max="10494" width="12" customWidth="1"/>
    <col min="10495" max="10495" width="15.6640625" customWidth="1"/>
    <col min="10496" max="10496" width="13.109375" customWidth="1"/>
    <col min="10497" max="10497" width="11.33203125" customWidth="1"/>
    <col min="10498" max="10498" width="23.33203125" customWidth="1"/>
    <col min="10499" max="10499" width="15.88671875" customWidth="1"/>
    <col min="10501" max="10501" width="14.33203125" bestFit="1" customWidth="1"/>
    <col min="10748" max="10748" width="37.44140625" bestFit="1" customWidth="1"/>
    <col min="10749" max="10749" width="12.44140625" customWidth="1"/>
    <col min="10750" max="10750" width="12" customWidth="1"/>
    <col min="10751" max="10751" width="15.6640625" customWidth="1"/>
    <col min="10752" max="10752" width="13.109375" customWidth="1"/>
    <col min="10753" max="10753" width="11.33203125" customWidth="1"/>
    <col min="10754" max="10754" width="23.33203125" customWidth="1"/>
    <col min="10755" max="10755" width="15.88671875" customWidth="1"/>
    <col min="10757" max="10757" width="14.33203125" bestFit="1" customWidth="1"/>
    <col min="11004" max="11004" width="37.44140625" bestFit="1" customWidth="1"/>
    <col min="11005" max="11005" width="12.44140625" customWidth="1"/>
    <col min="11006" max="11006" width="12" customWidth="1"/>
    <col min="11007" max="11007" width="15.6640625" customWidth="1"/>
    <col min="11008" max="11008" width="13.109375" customWidth="1"/>
    <col min="11009" max="11009" width="11.33203125" customWidth="1"/>
    <col min="11010" max="11010" width="23.33203125" customWidth="1"/>
    <col min="11011" max="11011" width="15.88671875" customWidth="1"/>
    <col min="11013" max="11013" width="14.33203125" bestFit="1" customWidth="1"/>
    <col min="11260" max="11260" width="37.44140625" bestFit="1" customWidth="1"/>
    <col min="11261" max="11261" width="12.44140625" customWidth="1"/>
    <col min="11262" max="11262" width="12" customWidth="1"/>
    <col min="11263" max="11263" width="15.6640625" customWidth="1"/>
    <col min="11264" max="11264" width="13.109375" customWidth="1"/>
    <col min="11265" max="11265" width="11.33203125" customWidth="1"/>
    <col min="11266" max="11266" width="23.33203125" customWidth="1"/>
    <col min="11267" max="11267" width="15.88671875" customWidth="1"/>
    <col min="11269" max="11269" width="14.33203125" bestFit="1" customWidth="1"/>
    <col min="11516" max="11516" width="37.44140625" bestFit="1" customWidth="1"/>
    <col min="11517" max="11517" width="12.44140625" customWidth="1"/>
    <col min="11518" max="11518" width="12" customWidth="1"/>
    <col min="11519" max="11519" width="15.6640625" customWidth="1"/>
    <col min="11520" max="11520" width="13.109375" customWidth="1"/>
    <col min="11521" max="11521" width="11.33203125" customWidth="1"/>
    <col min="11522" max="11522" width="23.33203125" customWidth="1"/>
    <col min="11523" max="11523" width="15.88671875" customWidth="1"/>
    <col min="11525" max="11525" width="14.33203125" bestFit="1" customWidth="1"/>
    <col min="11772" max="11772" width="37.44140625" bestFit="1" customWidth="1"/>
    <col min="11773" max="11773" width="12.44140625" customWidth="1"/>
    <col min="11774" max="11774" width="12" customWidth="1"/>
    <col min="11775" max="11775" width="15.6640625" customWidth="1"/>
    <col min="11776" max="11776" width="13.109375" customWidth="1"/>
    <col min="11777" max="11777" width="11.33203125" customWidth="1"/>
    <col min="11778" max="11778" width="23.33203125" customWidth="1"/>
    <col min="11779" max="11779" width="15.88671875" customWidth="1"/>
    <col min="11781" max="11781" width="14.33203125" bestFit="1" customWidth="1"/>
    <col min="12028" max="12028" width="37.44140625" bestFit="1" customWidth="1"/>
    <col min="12029" max="12029" width="12.44140625" customWidth="1"/>
    <col min="12030" max="12030" width="12" customWidth="1"/>
    <col min="12031" max="12031" width="15.6640625" customWidth="1"/>
    <col min="12032" max="12032" width="13.109375" customWidth="1"/>
    <col min="12033" max="12033" width="11.33203125" customWidth="1"/>
    <col min="12034" max="12034" width="23.33203125" customWidth="1"/>
    <col min="12035" max="12035" width="15.88671875" customWidth="1"/>
    <col min="12037" max="12037" width="14.33203125" bestFit="1" customWidth="1"/>
    <col min="12284" max="12284" width="37.44140625" bestFit="1" customWidth="1"/>
    <col min="12285" max="12285" width="12.44140625" customWidth="1"/>
    <col min="12286" max="12286" width="12" customWidth="1"/>
    <col min="12287" max="12287" width="15.6640625" customWidth="1"/>
    <col min="12288" max="12288" width="13.109375" customWidth="1"/>
    <col min="12289" max="12289" width="11.33203125" customWidth="1"/>
    <col min="12290" max="12290" width="23.33203125" customWidth="1"/>
    <col min="12291" max="12291" width="15.88671875" customWidth="1"/>
    <col min="12293" max="12293" width="14.33203125" bestFit="1" customWidth="1"/>
    <col min="12540" max="12540" width="37.44140625" bestFit="1" customWidth="1"/>
    <col min="12541" max="12541" width="12.44140625" customWidth="1"/>
    <col min="12542" max="12542" width="12" customWidth="1"/>
    <col min="12543" max="12543" width="15.6640625" customWidth="1"/>
    <col min="12544" max="12544" width="13.109375" customWidth="1"/>
    <col min="12545" max="12545" width="11.33203125" customWidth="1"/>
    <col min="12546" max="12546" width="23.33203125" customWidth="1"/>
    <col min="12547" max="12547" width="15.88671875" customWidth="1"/>
    <col min="12549" max="12549" width="14.33203125" bestFit="1" customWidth="1"/>
    <col min="12796" max="12796" width="37.44140625" bestFit="1" customWidth="1"/>
    <col min="12797" max="12797" width="12.44140625" customWidth="1"/>
    <col min="12798" max="12798" width="12" customWidth="1"/>
    <col min="12799" max="12799" width="15.6640625" customWidth="1"/>
    <col min="12800" max="12800" width="13.109375" customWidth="1"/>
    <col min="12801" max="12801" width="11.33203125" customWidth="1"/>
    <col min="12802" max="12802" width="23.33203125" customWidth="1"/>
    <col min="12803" max="12803" width="15.88671875" customWidth="1"/>
    <col min="12805" max="12805" width="14.33203125" bestFit="1" customWidth="1"/>
    <col min="13052" max="13052" width="37.44140625" bestFit="1" customWidth="1"/>
    <col min="13053" max="13053" width="12.44140625" customWidth="1"/>
    <col min="13054" max="13054" width="12" customWidth="1"/>
    <col min="13055" max="13055" width="15.6640625" customWidth="1"/>
    <col min="13056" max="13056" width="13.109375" customWidth="1"/>
    <col min="13057" max="13057" width="11.33203125" customWidth="1"/>
    <col min="13058" max="13058" width="23.33203125" customWidth="1"/>
    <col min="13059" max="13059" width="15.88671875" customWidth="1"/>
    <col min="13061" max="13061" width="14.33203125" bestFit="1" customWidth="1"/>
    <col min="13308" max="13308" width="37.44140625" bestFit="1" customWidth="1"/>
    <col min="13309" max="13309" width="12.44140625" customWidth="1"/>
    <col min="13310" max="13310" width="12" customWidth="1"/>
    <col min="13311" max="13311" width="15.6640625" customWidth="1"/>
    <col min="13312" max="13312" width="13.109375" customWidth="1"/>
    <col min="13313" max="13313" width="11.33203125" customWidth="1"/>
    <col min="13314" max="13314" width="23.33203125" customWidth="1"/>
    <col min="13315" max="13315" width="15.88671875" customWidth="1"/>
    <col min="13317" max="13317" width="14.33203125" bestFit="1" customWidth="1"/>
    <col min="13564" max="13564" width="37.44140625" bestFit="1" customWidth="1"/>
    <col min="13565" max="13565" width="12.44140625" customWidth="1"/>
    <col min="13566" max="13566" width="12" customWidth="1"/>
    <col min="13567" max="13567" width="15.6640625" customWidth="1"/>
    <col min="13568" max="13568" width="13.109375" customWidth="1"/>
    <col min="13569" max="13569" width="11.33203125" customWidth="1"/>
    <col min="13570" max="13570" width="23.33203125" customWidth="1"/>
    <col min="13571" max="13571" width="15.88671875" customWidth="1"/>
    <col min="13573" max="13573" width="14.33203125" bestFit="1" customWidth="1"/>
    <col min="13820" max="13820" width="37.44140625" bestFit="1" customWidth="1"/>
    <col min="13821" max="13821" width="12.44140625" customWidth="1"/>
    <col min="13822" max="13822" width="12" customWidth="1"/>
    <col min="13823" max="13823" width="15.6640625" customWidth="1"/>
    <col min="13824" max="13824" width="13.109375" customWidth="1"/>
    <col min="13825" max="13825" width="11.33203125" customWidth="1"/>
    <col min="13826" max="13826" width="23.33203125" customWidth="1"/>
    <col min="13827" max="13827" width="15.88671875" customWidth="1"/>
    <col min="13829" max="13829" width="14.33203125" bestFit="1" customWidth="1"/>
    <col min="14076" max="14076" width="37.44140625" bestFit="1" customWidth="1"/>
    <col min="14077" max="14077" width="12.44140625" customWidth="1"/>
    <col min="14078" max="14078" width="12" customWidth="1"/>
    <col min="14079" max="14079" width="15.6640625" customWidth="1"/>
    <col min="14080" max="14080" width="13.109375" customWidth="1"/>
    <col min="14081" max="14081" width="11.33203125" customWidth="1"/>
    <col min="14082" max="14082" width="23.33203125" customWidth="1"/>
    <col min="14083" max="14083" width="15.88671875" customWidth="1"/>
    <col min="14085" max="14085" width="14.33203125" bestFit="1" customWidth="1"/>
    <col min="14332" max="14332" width="37.44140625" bestFit="1" customWidth="1"/>
    <col min="14333" max="14333" width="12.44140625" customWidth="1"/>
    <col min="14334" max="14334" width="12" customWidth="1"/>
    <col min="14335" max="14335" width="15.6640625" customWidth="1"/>
    <col min="14336" max="14336" width="13.109375" customWidth="1"/>
    <col min="14337" max="14337" width="11.33203125" customWidth="1"/>
    <col min="14338" max="14338" width="23.33203125" customWidth="1"/>
    <col min="14339" max="14339" width="15.88671875" customWidth="1"/>
    <col min="14341" max="14341" width="14.33203125" bestFit="1" customWidth="1"/>
    <col min="14588" max="14588" width="37.44140625" bestFit="1" customWidth="1"/>
    <col min="14589" max="14589" width="12.44140625" customWidth="1"/>
    <col min="14590" max="14590" width="12" customWidth="1"/>
    <col min="14591" max="14591" width="15.6640625" customWidth="1"/>
    <col min="14592" max="14592" width="13.109375" customWidth="1"/>
    <col min="14593" max="14593" width="11.33203125" customWidth="1"/>
    <col min="14594" max="14594" width="23.33203125" customWidth="1"/>
    <col min="14595" max="14595" width="15.88671875" customWidth="1"/>
    <col min="14597" max="14597" width="14.33203125" bestFit="1" customWidth="1"/>
    <col min="14844" max="14844" width="37.44140625" bestFit="1" customWidth="1"/>
    <col min="14845" max="14845" width="12.44140625" customWidth="1"/>
    <col min="14846" max="14846" width="12" customWidth="1"/>
    <col min="14847" max="14847" width="15.6640625" customWidth="1"/>
    <col min="14848" max="14848" width="13.109375" customWidth="1"/>
    <col min="14849" max="14849" width="11.33203125" customWidth="1"/>
    <col min="14850" max="14850" width="23.33203125" customWidth="1"/>
    <col min="14851" max="14851" width="15.88671875" customWidth="1"/>
    <col min="14853" max="14853" width="14.33203125" bestFit="1" customWidth="1"/>
    <col min="15100" max="15100" width="37.44140625" bestFit="1" customWidth="1"/>
    <col min="15101" max="15101" width="12.44140625" customWidth="1"/>
    <col min="15102" max="15102" width="12" customWidth="1"/>
    <col min="15103" max="15103" width="15.6640625" customWidth="1"/>
    <col min="15104" max="15104" width="13.109375" customWidth="1"/>
    <col min="15105" max="15105" width="11.33203125" customWidth="1"/>
    <col min="15106" max="15106" width="23.33203125" customWidth="1"/>
    <col min="15107" max="15107" width="15.88671875" customWidth="1"/>
    <col min="15109" max="15109" width="14.33203125" bestFit="1" customWidth="1"/>
    <col min="15356" max="15356" width="37.44140625" bestFit="1" customWidth="1"/>
    <col min="15357" max="15357" width="12.44140625" customWidth="1"/>
    <col min="15358" max="15358" width="12" customWidth="1"/>
    <col min="15359" max="15359" width="15.6640625" customWidth="1"/>
    <col min="15360" max="15360" width="13.109375" customWidth="1"/>
    <col min="15361" max="15361" width="11.33203125" customWidth="1"/>
    <col min="15362" max="15362" width="23.33203125" customWidth="1"/>
    <col min="15363" max="15363" width="15.88671875" customWidth="1"/>
    <col min="15365" max="15365" width="14.33203125" bestFit="1" customWidth="1"/>
    <col min="15612" max="15612" width="37.44140625" bestFit="1" customWidth="1"/>
    <col min="15613" max="15613" width="12.44140625" customWidth="1"/>
    <col min="15614" max="15614" width="12" customWidth="1"/>
    <col min="15615" max="15615" width="15.6640625" customWidth="1"/>
    <col min="15616" max="15616" width="13.109375" customWidth="1"/>
    <col min="15617" max="15617" width="11.33203125" customWidth="1"/>
    <col min="15618" max="15618" width="23.33203125" customWidth="1"/>
    <col min="15619" max="15619" width="15.88671875" customWidth="1"/>
    <col min="15621" max="15621" width="14.33203125" bestFit="1" customWidth="1"/>
    <col min="15868" max="15868" width="37.44140625" bestFit="1" customWidth="1"/>
    <col min="15869" max="15869" width="12.44140625" customWidth="1"/>
    <col min="15870" max="15870" width="12" customWidth="1"/>
    <col min="15871" max="15871" width="15.6640625" customWidth="1"/>
    <col min="15872" max="15872" width="13.109375" customWidth="1"/>
    <col min="15873" max="15873" width="11.33203125" customWidth="1"/>
    <col min="15874" max="15874" width="23.33203125" customWidth="1"/>
    <col min="15875" max="15875" width="15.88671875" customWidth="1"/>
    <col min="15877" max="15877" width="14.33203125" bestFit="1" customWidth="1"/>
    <col min="16124" max="16124" width="37.44140625" bestFit="1" customWidth="1"/>
    <col min="16125" max="16125" width="12.44140625" customWidth="1"/>
    <col min="16126" max="16126" width="12" customWidth="1"/>
    <col min="16127" max="16127" width="15.6640625" customWidth="1"/>
    <col min="16128" max="16128" width="13.109375" customWidth="1"/>
    <col min="16129" max="16129" width="11.33203125" customWidth="1"/>
    <col min="16130" max="16130" width="23.33203125" customWidth="1"/>
    <col min="16131" max="16131" width="15.88671875" customWidth="1"/>
    <col min="16133" max="16133" width="14.33203125" bestFit="1" customWidth="1"/>
  </cols>
  <sheetData>
    <row r="1" spans="1:11" ht="21" x14ac:dyDescent="0.4">
      <c r="I1" s="23">
        <f>SUM(I4:I34)+C16+E41+E42+E48</f>
        <v>13.5</v>
      </c>
    </row>
    <row r="2" spans="1:11" x14ac:dyDescent="0.3">
      <c r="B2" s="38" t="s">
        <v>29</v>
      </c>
      <c r="C2" s="39"/>
      <c r="D2" s="40"/>
      <c r="E2" s="38" t="s">
        <v>30</v>
      </c>
      <c r="F2" s="39"/>
      <c r="G2" s="40"/>
    </row>
    <row r="3" spans="1:11" x14ac:dyDescent="0.3">
      <c r="A3" s="24"/>
      <c r="B3" s="24" t="s">
        <v>12</v>
      </c>
      <c r="C3" s="24" t="s">
        <v>31</v>
      </c>
      <c r="D3" s="24" t="s">
        <v>14</v>
      </c>
      <c r="E3" s="24" t="s">
        <v>12</v>
      </c>
      <c r="F3" s="24" t="s">
        <v>31</v>
      </c>
      <c r="G3" s="24" t="s">
        <v>14</v>
      </c>
    </row>
    <row r="4" spans="1:11" x14ac:dyDescent="0.3">
      <c r="A4" s="21" t="s">
        <v>32</v>
      </c>
      <c r="B4" s="21">
        <v>75000</v>
      </c>
      <c r="C4" s="25">
        <v>5</v>
      </c>
      <c r="D4" s="62">
        <f>+B4*C4</f>
        <v>375000</v>
      </c>
      <c r="E4" s="21">
        <v>198000</v>
      </c>
      <c r="F4" s="25">
        <v>0.5</v>
      </c>
      <c r="G4" s="64">
        <f>+E4*F4</f>
        <v>99000</v>
      </c>
      <c r="I4">
        <v>1</v>
      </c>
    </row>
    <row r="5" spans="1:11" x14ac:dyDescent="0.3">
      <c r="A5" s="21" t="s">
        <v>33</v>
      </c>
      <c r="B5" s="63">
        <f>D4</f>
        <v>375000</v>
      </c>
      <c r="C5" s="61">
        <v>0.1</v>
      </c>
      <c r="D5" s="25">
        <f>+B5*C5</f>
        <v>37500</v>
      </c>
      <c r="E5" s="65">
        <f>G4</f>
        <v>99000</v>
      </c>
      <c r="F5" s="61">
        <v>0.1</v>
      </c>
      <c r="G5" s="25">
        <f>+E5*F5</f>
        <v>9900</v>
      </c>
      <c r="I5">
        <v>1</v>
      </c>
      <c r="K5">
        <f>37500+9900</f>
        <v>47400</v>
      </c>
    </row>
    <row r="6" spans="1:11" x14ac:dyDescent="0.3">
      <c r="A6" s="26" t="s">
        <v>34</v>
      </c>
      <c r="B6" s="26">
        <f>B4</f>
        <v>75000</v>
      </c>
      <c r="C6" s="27">
        <f>D6/B6</f>
        <v>5.5</v>
      </c>
      <c r="D6" s="27">
        <f>D4+D5</f>
        <v>412500</v>
      </c>
      <c r="E6" s="26">
        <f>E4</f>
        <v>198000</v>
      </c>
      <c r="F6" s="27">
        <f>G6/E6</f>
        <v>0.55000000000000004</v>
      </c>
      <c r="G6" s="27">
        <f>G4+G5</f>
        <v>108900</v>
      </c>
    </row>
    <row r="11" spans="1:11" x14ac:dyDescent="0.3">
      <c r="A11" s="41" t="s">
        <v>35</v>
      </c>
      <c r="B11" s="42"/>
      <c r="C11" s="42"/>
      <c r="D11" s="42"/>
      <c r="E11" s="42"/>
      <c r="F11" s="42"/>
      <c r="G11" s="42"/>
      <c r="H11" s="43"/>
    </row>
    <row r="12" spans="1:11" x14ac:dyDescent="0.3">
      <c r="A12" s="28"/>
      <c r="B12" s="29" t="s">
        <v>36</v>
      </c>
      <c r="C12" s="29" t="s">
        <v>37</v>
      </c>
      <c r="D12" s="29" t="s">
        <v>38</v>
      </c>
      <c r="E12" s="29"/>
      <c r="F12" s="29" t="s">
        <v>36</v>
      </c>
      <c r="G12" s="29" t="s">
        <v>37</v>
      </c>
      <c r="H12" s="29" t="s">
        <v>38</v>
      </c>
    </row>
    <row r="13" spans="1:11" x14ac:dyDescent="0.3">
      <c r="A13" s="21" t="s">
        <v>39</v>
      </c>
      <c r="B13" s="21">
        <v>8000</v>
      </c>
      <c r="C13" s="25"/>
      <c r="D13" s="25">
        <v>39850</v>
      </c>
      <c r="E13" s="21" t="s">
        <v>40</v>
      </c>
      <c r="F13" s="21">
        <v>74000</v>
      </c>
      <c r="G13" s="30">
        <v>5.45</v>
      </c>
      <c r="H13" s="30">
        <f>F13*G13</f>
        <v>403300</v>
      </c>
      <c r="I13">
        <v>1</v>
      </c>
    </row>
    <row r="14" spans="1:11" x14ac:dyDescent="0.3">
      <c r="A14" s="21" t="s">
        <v>41</v>
      </c>
      <c r="B14" s="21">
        <v>75000</v>
      </c>
      <c r="C14" s="25">
        <v>5.5</v>
      </c>
      <c r="D14" s="25">
        <f>B14*C14</f>
        <v>412500</v>
      </c>
      <c r="E14" s="21" t="s">
        <v>42</v>
      </c>
      <c r="F14" s="67"/>
      <c r="G14" s="68"/>
      <c r="H14" s="69"/>
    </row>
    <row r="15" spans="1:11" x14ac:dyDescent="0.3">
      <c r="A15" s="21" t="s">
        <v>43</v>
      </c>
      <c r="B15" s="21">
        <f>B13+B14</f>
        <v>83000</v>
      </c>
      <c r="C15" s="66">
        <f>D15/B15</f>
        <v>5.45</v>
      </c>
      <c r="D15" s="25">
        <f>D13+D14</f>
        <v>452350</v>
      </c>
      <c r="E15" s="21" t="s">
        <v>43</v>
      </c>
      <c r="F15" s="70"/>
      <c r="G15" s="71"/>
      <c r="H15" s="72"/>
    </row>
    <row r="16" spans="1:11" x14ac:dyDescent="0.3">
      <c r="C16">
        <v>1</v>
      </c>
    </row>
    <row r="17" spans="1:12" x14ac:dyDescent="0.3">
      <c r="C17" t="s">
        <v>71</v>
      </c>
    </row>
    <row r="19" spans="1:12" x14ac:dyDescent="0.3">
      <c r="D19" t="s">
        <v>72</v>
      </c>
      <c r="E19">
        <v>3</v>
      </c>
      <c r="F19">
        <v>12000</v>
      </c>
      <c r="G19">
        <f>E19*F19</f>
        <v>36000</v>
      </c>
      <c r="H19" s="73" t="s">
        <v>73</v>
      </c>
    </row>
    <row r="20" spans="1:12" x14ac:dyDescent="0.3">
      <c r="D20" t="s">
        <v>74</v>
      </c>
      <c r="E20">
        <v>2</v>
      </c>
      <c r="F20">
        <v>19000</v>
      </c>
      <c r="G20">
        <f>E20*F20</f>
        <v>38000</v>
      </c>
      <c r="H20" s="73"/>
    </row>
    <row r="21" spans="1:12" x14ac:dyDescent="0.3">
      <c r="G21">
        <f>G19+G20</f>
        <v>74000</v>
      </c>
      <c r="H21" s="73"/>
    </row>
    <row r="22" spans="1:12" x14ac:dyDescent="0.3">
      <c r="A22" s="37" t="s">
        <v>44</v>
      </c>
      <c r="B22" s="37"/>
      <c r="C22" s="37"/>
      <c r="D22" s="37"/>
    </row>
    <row r="23" spans="1:12" x14ac:dyDescent="0.3">
      <c r="A23" s="24"/>
      <c r="B23" s="24" t="s">
        <v>12</v>
      </c>
      <c r="C23" s="24" t="s">
        <v>31</v>
      </c>
      <c r="D23" s="24" t="s">
        <v>14</v>
      </c>
    </row>
    <row r="24" spans="1:12" x14ac:dyDescent="0.3">
      <c r="A24" s="21" t="s">
        <v>45</v>
      </c>
      <c r="B24" s="21">
        <f>12000*3</f>
        <v>36000</v>
      </c>
      <c r="C24" s="25">
        <f>C15</f>
        <v>5.45</v>
      </c>
      <c r="D24" s="25">
        <f>+B24*C24</f>
        <v>196200</v>
      </c>
      <c r="E24" t="s">
        <v>46</v>
      </c>
      <c r="I24">
        <v>1</v>
      </c>
    </row>
    <row r="25" spans="1:12" x14ac:dyDescent="0.3">
      <c r="A25" s="21" t="s">
        <v>47</v>
      </c>
      <c r="B25" s="21">
        <f>12000*7</f>
        <v>84000</v>
      </c>
      <c r="C25" s="25">
        <f>F6</f>
        <v>0.55000000000000004</v>
      </c>
      <c r="D25" s="25">
        <f>+B25*C25</f>
        <v>46200.000000000007</v>
      </c>
      <c r="E25" t="s">
        <v>48</v>
      </c>
      <c r="I25">
        <v>1</v>
      </c>
    </row>
    <row r="26" spans="1:12" x14ac:dyDescent="0.3">
      <c r="A26" s="21" t="s">
        <v>49</v>
      </c>
      <c r="B26" s="21">
        <f>12000*6</f>
        <v>72000</v>
      </c>
      <c r="C26" s="25">
        <v>18</v>
      </c>
      <c r="D26" s="25">
        <f>+B26*C26</f>
        <v>1296000</v>
      </c>
      <c r="E26" t="s">
        <v>50</v>
      </c>
      <c r="I26">
        <v>1</v>
      </c>
    </row>
    <row r="27" spans="1:12" x14ac:dyDescent="0.3">
      <c r="A27" s="21" t="s">
        <v>51</v>
      </c>
      <c r="B27" s="21">
        <f>12000*3.25</f>
        <v>39000</v>
      </c>
      <c r="C27" s="25">
        <v>21</v>
      </c>
      <c r="D27" s="25">
        <f>+B27*C27</f>
        <v>819000</v>
      </c>
      <c r="E27" t="s">
        <v>52</v>
      </c>
      <c r="I27">
        <v>1</v>
      </c>
    </row>
    <row r="28" spans="1:12" x14ac:dyDescent="0.3">
      <c r="A28" s="21" t="s">
        <v>53</v>
      </c>
      <c r="B28" s="21">
        <v>12000</v>
      </c>
      <c r="C28" s="25">
        <f>1364000/31000</f>
        <v>44</v>
      </c>
      <c r="D28" s="25">
        <f>+B28*C28</f>
        <v>528000</v>
      </c>
      <c r="E28" t="s">
        <v>54</v>
      </c>
      <c r="I28">
        <v>1.5</v>
      </c>
    </row>
    <row r="29" spans="1:12" x14ac:dyDescent="0.3">
      <c r="A29" s="26" t="s">
        <v>55</v>
      </c>
      <c r="B29" s="26">
        <v>12000</v>
      </c>
      <c r="C29" s="27">
        <f>D29/B29</f>
        <v>240.45</v>
      </c>
      <c r="D29" s="27">
        <f>SUM(D24:D28)</f>
        <v>2885400</v>
      </c>
      <c r="F29" s="31"/>
    </row>
    <row r="30" spans="1:12" x14ac:dyDescent="0.3">
      <c r="L30" s="33"/>
    </row>
    <row r="32" spans="1:12" x14ac:dyDescent="0.3">
      <c r="A32" s="41" t="s">
        <v>56</v>
      </c>
      <c r="B32" s="42"/>
      <c r="C32" s="42"/>
      <c r="D32" s="42"/>
      <c r="E32" s="42"/>
      <c r="F32" s="42"/>
      <c r="G32" s="42"/>
      <c r="H32" s="43"/>
    </row>
    <row r="33" spans="1:9" x14ac:dyDescent="0.3">
      <c r="A33" s="21" t="s">
        <v>39</v>
      </c>
      <c r="B33" s="21">
        <v>3200</v>
      </c>
      <c r="C33" s="25">
        <v>233.56250000000006</v>
      </c>
      <c r="D33" s="25">
        <f>+B33*C33</f>
        <v>747400.00000000023</v>
      </c>
      <c r="E33" s="21" t="s">
        <v>40</v>
      </c>
      <c r="F33" s="21">
        <v>13300</v>
      </c>
      <c r="G33" s="30">
        <f>C35</f>
        <v>239</v>
      </c>
      <c r="H33" s="30">
        <f>F33*G33</f>
        <v>3178700</v>
      </c>
      <c r="I33">
        <v>1</v>
      </c>
    </row>
    <row r="34" spans="1:9" x14ac:dyDescent="0.3">
      <c r="A34" s="21" t="s">
        <v>41</v>
      </c>
      <c r="B34" s="21">
        <f>+B29</f>
        <v>12000</v>
      </c>
      <c r="C34" s="25">
        <f>C29</f>
        <v>240.45</v>
      </c>
      <c r="D34" s="25">
        <f>+B34*C34</f>
        <v>2885400</v>
      </c>
      <c r="E34" s="21" t="s">
        <v>33</v>
      </c>
      <c r="F34" s="21">
        <f>B35-F33</f>
        <v>1900</v>
      </c>
      <c r="G34" s="30">
        <f>G33</f>
        <v>239</v>
      </c>
      <c r="H34" s="30">
        <f>F34*G34</f>
        <v>454100</v>
      </c>
    </row>
    <row r="35" spans="1:9" x14ac:dyDescent="0.3">
      <c r="A35" s="21" t="s">
        <v>43</v>
      </c>
      <c r="B35" s="21">
        <f>B33+B34</f>
        <v>15200</v>
      </c>
      <c r="C35" s="25">
        <f>D35/B35</f>
        <v>239</v>
      </c>
      <c r="D35" s="25">
        <f>D33+D34</f>
        <v>3632800</v>
      </c>
      <c r="E35" s="21" t="str">
        <f>A35</f>
        <v>TOTAL</v>
      </c>
      <c r="F35" s="21">
        <f>F33+F34</f>
        <v>15200</v>
      </c>
      <c r="G35" s="25">
        <f>H35/F35</f>
        <v>239</v>
      </c>
      <c r="H35" s="25">
        <f>H33+H34</f>
        <v>3632800</v>
      </c>
    </row>
    <row r="39" spans="1:9" x14ac:dyDescent="0.3">
      <c r="A39" s="37" t="s">
        <v>57</v>
      </c>
      <c r="B39" s="37"/>
      <c r="C39" s="37"/>
      <c r="D39" s="37"/>
    </row>
    <row r="40" spans="1:9" x14ac:dyDescent="0.3">
      <c r="A40" s="21" t="s">
        <v>55</v>
      </c>
      <c r="B40" s="21">
        <v>13300</v>
      </c>
      <c r="C40" s="25">
        <f>C35</f>
        <v>239</v>
      </c>
      <c r="D40" s="25">
        <f>+B40*C40</f>
        <v>3178700</v>
      </c>
    </row>
    <row r="41" spans="1:9" x14ac:dyDescent="0.3">
      <c r="A41" s="21" t="s">
        <v>58</v>
      </c>
      <c r="B41" s="21">
        <f>13300*275</f>
        <v>3657500</v>
      </c>
      <c r="C41" s="32">
        <f>(135180/((275*13300)+(19000*163.2)))</f>
        <v>2.0002071526863265E-2</v>
      </c>
      <c r="D41" s="25">
        <f>+B41*C41</f>
        <v>73157.576609502386</v>
      </c>
      <c r="E41">
        <v>1.5</v>
      </c>
    </row>
    <row r="42" spans="1:9" x14ac:dyDescent="0.3">
      <c r="A42" s="21" t="s">
        <v>59</v>
      </c>
      <c r="B42" s="21">
        <f>B40</f>
        <v>13300</v>
      </c>
      <c r="C42" s="25">
        <f>275*0.1</f>
        <v>27.5</v>
      </c>
      <c r="D42" s="25">
        <f>+B42*C42</f>
        <v>365750</v>
      </c>
      <c r="E42">
        <v>1</v>
      </c>
    </row>
    <row r="43" spans="1:9" x14ac:dyDescent="0.3">
      <c r="A43" s="21" t="s">
        <v>60</v>
      </c>
      <c r="B43" s="21">
        <f>B42</f>
        <v>13300</v>
      </c>
      <c r="C43" s="25">
        <f>D43/B43</f>
        <v>272.0005696698874</v>
      </c>
      <c r="D43" s="25">
        <f>SUM(D40:D42)</f>
        <v>3617607.5766095025</v>
      </c>
    </row>
    <row r="44" spans="1:9" x14ac:dyDescent="0.3">
      <c r="E44" s="31"/>
      <c r="F44" s="31"/>
    </row>
    <row r="46" spans="1:9" x14ac:dyDescent="0.3">
      <c r="A46" s="21" t="s">
        <v>61</v>
      </c>
      <c r="B46" s="21">
        <v>13300</v>
      </c>
      <c r="C46" s="25">
        <v>275</v>
      </c>
      <c r="D46" s="30">
        <f>B46*C46</f>
        <v>3657500</v>
      </c>
    </row>
    <row r="47" spans="1:9" x14ac:dyDescent="0.3">
      <c r="A47" s="21" t="s">
        <v>23</v>
      </c>
      <c r="B47" s="21">
        <f>B43</f>
        <v>13300</v>
      </c>
      <c r="C47" s="30">
        <f>C43</f>
        <v>272.0005696698874</v>
      </c>
      <c r="D47" s="30">
        <f>D43</f>
        <v>3617607.5766095025</v>
      </c>
    </row>
    <row r="48" spans="1:9" x14ac:dyDescent="0.3">
      <c r="A48" s="21" t="s">
        <v>62</v>
      </c>
      <c r="B48" s="21">
        <v>13300</v>
      </c>
      <c r="C48" s="30">
        <f>C46-C47</f>
        <v>2.9994303301126024</v>
      </c>
      <c r="D48" s="30">
        <f>D46-D47</f>
        <v>39892.423390497454</v>
      </c>
      <c r="E48">
        <v>0.5</v>
      </c>
    </row>
  </sheetData>
  <mergeCells count="8">
    <mergeCell ref="A39:D39"/>
    <mergeCell ref="B2:D2"/>
    <mergeCell ref="E2:G2"/>
    <mergeCell ref="A11:H11"/>
    <mergeCell ref="A22:D22"/>
    <mergeCell ref="A32:H32"/>
    <mergeCell ref="F14:H15"/>
    <mergeCell ref="H19:H2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2" ma:contentTypeDescription="Crée un document." ma:contentTypeScope="" ma:versionID="64fd4b693ab861ecd05c7c9a0ff5b72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1d535e6f73a1e622272d656ab1345b4a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DE6B8E-3DAA-4BC9-8A85-3DB14A440C3A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1b6f2b70-d5a1-4544-a145-5b4293f1365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35872B-9DA4-46AB-B9EA-F3FF159F92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C01091-F183-4BFD-ACB6-C8A67CF8E0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Noel</dc:creator>
  <cp:lastModifiedBy>Eric Noel</cp:lastModifiedBy>
  <dcterms:created xsi:type="dcterms:W3CDTF">2025-05-02T12:54:22Z</dcterms:created>
  <dcterms:modified xsi:type="dcterms:W3CDTF">2025-05-19T13:43:51Z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</Properties>
</file>