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.noel\OneDrive - Universite Evry Val d'Essonne\BUT\Cours BUT2\CG2P\R4 CG2P09\Thème 3 La synthèse budgétaire\"/>
    </mc:Choice>
  </mc:AlternateContent>
  <xr:revisionPtr revIDLastSave="0" documentId="13_ncr:1_{7E56FC3A-0059-4806-B97A-E26BEF3325F7}" xr6:coauthVersionLast="47" xr6:coauthVersionMax="47" xr10:uidLastSave="{00000000-0000-0000-0000-000000000000}"/>
  <bookViews>
    <workbookView xWindow="28680" yWindow="-120" windowWidth="25440" windowHeight="15390" xr2:uid="{C97A395B-EDD5-4320-BE0F-46C2114A51B2}"/>
  </bookViews>
  <sheets>
    <sheet name="Feuil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2" l="1"/>
  <c r="H19" i="2"/>
  <c r="P74" i="2"/>
  <c r="N74" i="2"/>
  <c r="B58" i="2"/>
  <c r="C58" i="2" s="1"/>
  <c r="D58" i="2" s="1"/>
  <c r="E58" i="2" s="1"/>
  <c r="F58" i="2" s="1"/>
  <c r="G58" i="2" s="1"/>
  <c r="P88" i="2"/>
  <c r="P87" i="2"/>
  <c r="N87" i="2"/>
  <c r="T43" i="2"/>
  <c r="N34" i="2"/>
  <c r="N88" i="2" s="1"/>
  <c r="P79" i="2"/>
  <c r="P78" i="2"/>
  <c r="P80" i="2" s="1"/>
  <c r="P81" i="2" s="1"/>
  <c r="P77" i="2"/>
  <c r="N78" i="2"/>
  <c r="C55" i="2"/>
  <c r="D55" i="2"/>
  <c r="E56" i="2" s="1"/>
  <c r="B55" i="2"/>
  <c r="H53" i="2"/>
  <c r="G53" i="2"/>
  <c r="E50" i="2"/>
  <c r="D50" i="2"/>
  <c r="C34" i="2"/>
  <c r="L40" i="2"/>
  <c r="B34" i="2" s="1"/>
  <c r="L41" i="2"/>
  <c r="H42" i="2"/>
  <c r="I40" i="2"/>
  <c r="I42" i="2" s="1"/>
  <c r="H40" i="2"/>
  <c r="H39" i="2"/>
  <c r="N93" i="2" s="1"/>
  <c r="G39" i="2"/>
  <c r="F37" i="2"/>
  <c r="D37" i="2"/>
  <c r="D27" i="2"/>
  <c r="G27" i="2"/>
  <c r="E17" i="2"/>
  <c r="F17" i="2"/>
  <c r="F54" i="2" s="1"/>
  <c r="D21" i="2"/>
  <c r="D22" i="2" s="1"/>
  <c r="C21" i="2"/>
  <c r="B22" i="2"/>
  <c r="C16" i="2"/>
  <c r="D16" i="2"/>
  <c r="E16" i="2"/>
  <c r="F51" i="2" s="1"/>
  <c r="F16" i="2"/>
  <c r="G52" i="2" s="1"/>
  <c r="G16" i="2"/>
  <c r="B16" i="2"/>
  <c r="C48" i="2" s="1"/>
  <c r="C12" i="2"/>
  <c r="C27" i="2" s="1"/>
  <c r="D12" i="2"/>
  <c r="E37" i="2" s="1"/>
  <c r="E12" i="2"/>
  <c r="G38" i="2" s="1"/>
  <c r="F12" i="2"/>
  <c r="F20" i="2" s="1"/>
  <c r="G12" i="2"/>
  <c r="G20" i="2" s="1"/>
  <c r="B12" i="2"/>
  <c r="B17" i="2" s="1"/>
  <c r="L42" i="2" l="1"/>
  <c r="N77" i="2" s="1"/>
  <c r="N80" i="2" s="1"/>
  <c r="N81" i="2" s="1"/>
  <c r="G42" i="2"/>
  <c r="G67" i="2" s="1"/>
  <c r="C17" i="2"/>
  <c r="D35" i="2"/>
  <c r="P93" i="2"/>
  <c r="E36" i="2"/>
  <c r="B35" i="2"/>
  <c r="B42" i="2" s="1"/>
  <c r="B67" i="2" s="1"/>
  <c r="B27" i="2"/>
  <c r="F27" i="2"/>
  <c r="C36" i="2"/>
  <c r="E38" i="2"/>
  <c r="C49" i="2"/>
  <c r="F52" i="2"/>
  <c r="G17" i="2"/>
  <c r="F28" i="2"/>
  <c r="E27" i="2"/>
  <c r="D36" i="2"/>
  <c r="F39" i="2"/>
  <c r="D49" i="2"/>
  <c r="N90" i="2"/>
  <c r="H16" i="2"/>
  <c r="N31" i="2" s="1"/>
  <c r="H17" i="2"/>
  <c r="D17" i="2"/>
  <c r="C35" i="2"/>
  <c r="C42" i="2" s="1"/>
  <c r="C67" i="2" s="1"/>
  <c r="G40" i="2"/>
  <c r="B48" i="2"/>
  <c r="E51" i="2"/>
  <c r="C56" i="2"/>
  <c r="F38" i="2"/>
  <c r="F42" i="2" s="1"/>
  <c r="F67" i="2" s="1"/>
  <c r="V43" i="2"/>
  <c r="E21" i="2"/>
  <c r="E55" i="2" s="1"/>
  <c r="B28" i="2"/>
  <c r="C22" i="2"/>
  <c r="D56" i="2" s="1"/>
  <c r="E20" i="2"/>
  <c r="E28" i="2" s="1"/>
  <c r="C20" i="2"/>
  <c r="C23" i="2" s="1"/>
  <c r="H12" i="2"/>
  <c r="P31" i="2" s="1"/>
  <c r="P36" i="2" s="1"/>
  <c r="D20" i="2"/>
  <c r="D23" i="2" s="1"/>
  <c r="B20" i="2"/>
  <c r="B23" i="2" s="1"/>
  <c r="D54" i="2" l="1"/>
  <c r="D28" i="2"/>
  <c r="D29" i="2" s="1"/>
  <c r="E57" i="2" s="1"/>
  <c r="E42" i="2"/>
  <c r="E67" i="2" s="1"/>
  <c r="C28" i="2"/>
  <c r="C29" i="2" s="1"/>
  <c r="D57" i="2" s="1"/>
  <c r="E29" i="2"/>
  <c r="F57" i="2" s="1"/>
  <c r="D42" i="2"/>
  <c r="D67" i="2" s="1"/>
  <c r="F29" i="2"/>
  <c r="G57" i="2" s="1"/>
  <c r="C54" i="2"/>
  <c r="H20" i="2"/>
  <c r="N32" i="2" s="1"/>
  <c r="G54" i="2"/>
  <c r="G28" i="2"/>
  <c r="G29" i="2" s="1"/>
  <c r="H57" i="2" s="1"/>
  <c r="B54" i="2"/>
  <c r="B59" i="2" s="1"/>
  <c r="B68" i="2" s="1"/>
  <c r="B69" i="2" s="1"/>
  <c r="C66" i="2" s="1"/>
  <c r="E54" i="2"/>
  <c r="E59" i="2" s="1"/>
  <c r="E68" i="2" s="1"/>
  <c r="W43" i="2"/>
  <c r="T44" i="2" s="1"/>
  <c r="E22" i="2"/>
  <c r="F56" i="2" s="1"/>
  <c r="F21" i="2"/>
  <c r="P94" i="2"/>
  <c r="B29" i="2"/>
  <c r="C57" i="2" s="1"/>
  <c r="C59" i="2" l="1"/>
  <c r="C68" i="2" s="1"/>
  <c r="F55" i="2"/>
  <c r="F59" i="2" s="1"/>
  <c r="F68" i="2" s="1"/>
  <c r="G59" i="2"/>
  <c r="G68" i="2" s="1"/>
  <c r="D59" i="2"/>
  <c r="D68" i="2" s="1"/>
  <c r="V44" i="2"/>
  <c r="E23" i="2"/>
  <c r="F22" i="2"/>
  <c r="G56" i="2" s="1"/>
  <c r="G21" i="2"/>
  <c r="G55" i="2" s="1"/>
  <c r="F23" i="2"/>
  <c r="C69" i="2"/>
  <c r="D66" i="2" s="1"/>
  <c r="D69" i="2" s="1"/>
  <c r="H21" i="2" l="1"/>
  <c r="W44" i="2"/>
  <c r="T45" i="2" s="1"/>
  <c r="V45" i="2" s="1"/>
  <c r="W45" i="2" s="1"/>
  <c r="T46" i="2" s="1"/>
  <c r="V46" i="2" s="1"/>
  <c r="W46" i="2" s="1"/>
  <c r="T47" i="2" s="1"/>
  <c r="E66" i="2"/>
  <c r="E69" i="2" s="1"/>
  <c r="F66" i="2" s="1"/>
  <c r="F69" i="2" s="1"/>
  <c r="G66" i="2" s="1"/>
  <c r="G69" i="2" s="1"/>
  <c r="N94" i="2" s="1"/>
  <c r="G22" i="2"/>
  <c r="G23" i="2" l="1"/>
  <c r="H23" i="2" s="1"/>
  <c r="H56" i="2"/>
  <c r="H22" i="2"/>
  <c r="N97" i="2"/>
  <c r="N98" i="2" s="1"/>
  <c r="V47" i="2"/>
  <c r="W47" i="2" s="1"/>
  <c r="T48" i="2" s="1"/>
  <c r="N33" i="2"/>
  <c r="P95" i="2" l="1"/>
  <c r="H59" i="2"/>
  <c r="V48" i="2"/>
  <c r="V56" i="2" s="1"/>
  <c r="N35" i="2" s="1"/>
  <c r="N36" i="2" s="1"/>
  <c r="P37" i="2" s="1"/>
  <c r="P89" i="2" s="1"/>
  <c r="P90" i="2" s="1"/>
  <c r="W48" i="2" l="1"/>
  <c r="T49" i="2" s="1"/>
  <c r="V49" i="2" l="1"/>
  <c r="W49" i="2" s="1"/>
  <c r="T50" i="2" s="1"/>
  <c r="V50" i="2" s="1"/>
  <c r="W50" i="2" s="1"/>
  <c r="T51" i="2" s="1"/>
  <c r="P92" i="2"/>
  <c r="P97" i="2" s="1"/>
  <c r="V51" i="2" l="1"/>
  <c r="W51" i="2" s="1"/>
  <c r="T52" i="2" s="1"/>
  <c r="V52" i="2" l="1"/>
  <c r="W52" i="2" s="1"/>
  <c r="T53" i="2" s="1"/>
  <c r="V53" i="2" l="1"/>
  <c r="W53" i="2" s="1"/>
  <c r="T54" i="2" s="1"/>
  <c r="V54" i="2" l="1"/>
  <c r="W54" i="2" s="1"/>
  <c r="P98" i="2"/>
  <c r="R98" i="2" s="1"/>
</calcChain>
</file>

<file path=xl/sharedStrings.xml><?xml version="1.0" encoding="utf-8"?>
<sst xmlns="http://schemas.openxmlformats.org/spreadsheetml/2006/main" count="181" uniqueCount="108">
  <si>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</si>
  <si>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</si>
  <si>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</si>
  <si>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</si>
  <si>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</si>
  <si>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</si>
  <si>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</si>
  <si>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</si>
  <si>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</si>
  <si>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</si>
  <si>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</si>
  <si>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</si>
  <si>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J</t>
  </si>
  <si>
    <t>F</t>
  </si>
  <si>
    <t>M</t>
  </si>
  <si>
    <t>A</t>
  </si>
  <si>
    <t>pv</t>
  </si>
  <si>
    <t>pa</t>
  </si>
  <si>
    <t>BUDGET DES VENTES</t>
  </si>
  <si>
    <t>TOTAL</t>
  </si>
  <si>
    <t>CA HT</t>
  </si>
  <si>
    <t>Achats HT</t>
  </si>
  <si>
    <t>COMPTE DE RESULTAT PREVISIONNEL</t>
  </si>
  <si>
    <t>CHARGES</t>
  </si>
  <si>
    <t>PRODUITS</t>
  </si>
  <si>
    <t>Achat</t>
  </si>
  <si>
    <t>CA</t>
  </si>
  <si>
    <t>S. Extérieurs</t>
  </si>
  <si>
    <t>C. de Personnel</t>
  </si>
  <si>
    <t>Dotations aux Amts</t>
  </si>
  <si>
    <t>BUDGET DE TVA</t>
  </si>
  <si>
    <t xml:space="preserve">Perte </t>
  </si>
  <si>
    <t>TVA COLLECTEE</t>
  </si>
  <si>
    <t>TVA DEDUCTIBLE</t>
  </si>
  <si>
    <t>TVA A DECAISSER</t>
  </si>
  <si>
    <t>BUDGET DES ENCAISSEMENTS</t>
  </si>
  <si>
    <t>BILAN</t>
  </si>
  <si>
    <t>Créances clients au bilan</t>
  </si>
  <si>
    <t>CA de janvier</t>
  </si>
  <si>
    <t>CA de février</t>
  </si>
  <si>
    <t>CA de Mars</t>
  </si>
  <si>
    <t>BUDGET DES DECAISSEMENTS</t>
  </si>
  <si>
    <t xml:space="preserve">BILAN </t>
  </si>
  <si>
    <t>Dettes Frs au bilan</t>
  </si>
  <si>
    <t>BILAN PREVISIONNEL</t>
  </si>
  <si>
    <t>Salaires nets (Salariés)</t>
  </si>
  <si>
    <t>ACTIF</t>
  </si>
  <si>
    <t>Exercice N-1</t>
  </si>
  <si>
    <t>PASSIF</t>
  </si>
  <si>
    <t xml:space="preserve">Charges sociales </t>
  </si>
  <si>
    <t>Actif immobilisé</t>
  </si>
  <si>
    <t>Capitaux Propres</t>
  </si>
  <si>
    <t>TVA à décaisser</t>
  </si>
  <si>
    <t>Immobilisations brutes</t>
  </si>
  <si>
    <t>Capital</t>
  </si>
  <si>
    <t>Amortissements</t>
  </si>
  <si>
    <t>Reserves</t>
  </si>
  <si>
    <t>Résultat</t>
  </si>
  <si>
    <t>TOTAL 1</t>
  </si>
  <si>
    <t>Actif circulant</t>
  </si>
  <si>
    <t>Dettes</t>
  </si>
  <si>
    <t>BUDGET DE TRESORERIE</t>
  </si>
  <si>
    <t>Client</t>
  </si>
  <si>
    <t>Fournisseur</t>
  </si>
  <si>
    <t>Banque</t>
  </si>
  <si>
    <t>TVA a payer</t>
  </si>
  <si>
    <t>Solde Initial</t>
  </si>
  <si>
    <t>Dettes sociales</t>
  </si>
  <si>
    <t>Encaissements</t>
  </si>
  <si>
    <t>TOTAL 2</t>
  </si>
  <si>
    <t>Décaissements</t>
  </si>
  <si>
    <t>TOTAL GENERAL</t>
  </si>
  <si>
    <t>Solde Final (SI + E - D)</t>
  </si>
  <si>
    <t>Sous traitance</t>
  </si>
  <si>
    <t>Loyer net de TVA</t>
  </si>
  <si>
    <t>Publicité</t>
  </si>
  <si>
    <t>S. Bancaires</t>
  </si>
  <si>
    <t>BUDGET DES ACHATS - AUTRES CHARGES - CHARGES DE PERSONNEL</t>
  </si>
  <si>
    <t>Salaires Bruts</t>
  </si>
  <si>
    <t>Chrages sociales Patronales</t>
  </si>
  <si>
    <t>Comptant</t>
  </si>
  <si>
    <t>30 jours</t>
  </si>
  <si>
    <t>60 jours</t>
  </si>
  <si>
    <t>CA de Avril</t>
  </si>
  <si>
    <t>CA de Mai</t>
  </si>
  <si>
    <t>CA de Juin</t>
  </si>
  <si>
    <t>CA Novembre</t>
  </si>
  <si>
    <t>CA Décembre</t>
  </si>
  <si>
    <t>Créances au bilan</t>
  </si>
  <si>
    <t>Achat Janvier</t>
  </si>
  <si>
    <t>Achat Février</t>
  </si>
  <si>
    <t>Achat Mars</t>
  </si>
  <si>
    <t>Achat Avril</t>
  </si>
  <si>
    <t>Achat Mai</t>
  </si>
  <si>
    <t>Achat Juin</t>
  </si>
  <si>
    <t>30% Comptant</t>
  </si>
  <si>
    <t>70% à 30 jours</t>
  </si>
  <si>
    <t>Services extérieurs</t>
  </si>
  <si>
    <t>Charges sociales au bilan</t>
  </si>
  <si>
    <t>TVA de décembre</t>
  </si>
  <si>
    <t>Dettes frs au bilan</t>
  </si>
  <si>
    <t>Emprunt</t>
  </si>
  <si>
    <t>Intérêt</t>
  </si>
  <si>
    <t>Mensualité</t>
  </si>
  <si>
    <t>Intérêts</t>
  </si>
  <si>
    <t>Capital du</t>
  </si>
  <si>
    <t>Remboursement du capital</t>
  </si>
  <si>
    <t>Ventes estimées du 1er semestre 2022 (en quantité)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</si>
</sst>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#,##0\ &quot;€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Border="1"/>
    <xf numFmtId="164" fontId="0" fillId="0" borderId="1" xfId="1" applyNumberFormat="1" applyFont="1" applyBorder="1"/>
    <xf numFmtId="164" fontId="0" fillId="2" borderId="1" xfId="0" applyNumberFormat="1" applyFill="1" applyBorder="1"/>
    <xf numFmtId="164" fontId="0" fillId="0" borderId="1" xfId="1" applyNumberFormat="1" applyFont="1" applyBorder="1" applyAlignment="1">
      <alignment horizontal="center"/>
    </xf>
    <xf numFmtId="44" fontId="0" fillId="0" borderId="1" xfId="1" applyFont="1" applyBorder="1"/>
    <xf numFmtId="164" fontId="0" fillId="0" borderId="4" xfId="0" applyNumberFormat="1" applyBorder="1"/>
    <xf numFmtId="164" fontId="0" fillId="0" borderId="1" xfId="0" applyNumberFormat="1" applyBorder="1"/>
    <xf numFmtId="0" fontId="2" fillId="0" borderId="1" xfId="0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0" fontId="0" fillId="0" borderId="5" xfId="0" applyFill="1" applyBorder="1"/>
    <xf numFmtId="164" fontId="0" fillId="0" borderId="0" xfId="1" applyNumberFormat="1" applyFont="1"/>
    <xf numFmtId="0" fontId="2" fillId="2" borderId="1" xfId="0" applyFont="1" applyFill="1" applyBorder="1"/>
    <xf numFmtId="164" fontId="2" fillId="2" borderId="4" xfId="0" applyNumberFormat="1" applyFont="1" applyFill="1" applyBorder="1"/>
    <xf numFmtId="0" fontId="2" fillId="0" borderId="1" xfId="0" applyFont="1" applyBorder="1"/>
    <xf numFmtId="165" fontId="0" fillId="0" borderId="1" xfId="0" applyNumberFormat="1" applyBorder="1" applyAlignment="1">
      <alignment horizontal="right"/>
    </xf>
    <xf numFmtId="165" fontId="0" fillId="0" borderId="1" xfId="1" applyNumberFormat="1" applyFont="1" applyBorder="1" applyAlignment="1">
      <alignment horizontal="right"/>
    </xf>
    <xf numFmtId="0" fontId="0" fillId="0" borderId="1" xfId="0" applyFill="1" applyBorder="1" applyAlignment="1">
      <alignment horizontal="center"/>
    </xf>
    <xf numFmtId="164" fontId="0" fillId="2" borderId="1" xfId="1" applyNumberFormat="1" applyFont="1" applyFill="1" applyBorder="1"/>
    <xf numFmtId="0" fontId="0" fillId="0" borderId="4" xfId="0" applyBorder="1" applyAlignment="1">
      <alignment horizontal="center"/>
    </xf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0" xfId="0" applyFont="1" applyFill="1" applyBorder="1"/>
    <xf numFmtId="44" fontId="2" fillId="0" borderId="0" xfId="0" applyNumberFormat="1" applyFont="1" applyBorder="1"/>
    <xf numFmtId="164" fontId="2" fillId="2" borderId="1" xfId="1" applyNumberFormat="1" applyFont="1" applyFill="1" applyBorder="1"/>
    <xf numFmtId="0" fontId="0" fillId="0" borderId="1" xfId="0" applyFill="1" applyBorder="1"/>
    <xf numFmtId="44" fontId="0" fillId="0" borderId="1" xfId="1" applyFont="1" applyBorder="1" applyAlignment="1"/>
    <xf numFmtId="44" fontId="0" fillId="0" borderId="0" xfId="0" applyNumberFormat="1"/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/>
    <xf numFmtId="0" fontId="0" fillId="2" borderId="0" xfId="0" applyFill="1"/>
    <xf numFmtId="164" fontId="2" fillId="0" borderId="0" xfId="0" applyNumberFormat="1" applyFont="1" applyBorder="1"/>
    <xf numFmtId="164" fontId="1" fillId="0" borderId="1" xfId="1" applyNumberFormat="1" applyFont="1" applyBorder="1"/>
    <xf numFmtId="0" fontId="0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22540-9C98-4C8E-9FB2-127AA2F3BF0D}">
  <dimension ref="A1:W98"/>
  <sheetViews>
    <sheetView tabSelected="1" workbookViewId="0">
      <selection activeCell="K6" sqref="K6"/>
    </sheetView>
  </sheetViews>
  <sheetFormatPr baseColWidth="10" defaultRowHeight="15" x14ac:dyDescent="0.25"/>
  <cols>
    <col min="1" max="1" width="24.5703125" customWidth="1"/>
    <col min="8" max="8" width="11.7109375" bestFit="1" customWidth="1"/>
    <col min="11" max="11" width="25.28515625" customWidth="1"/>
    <col min="12" max="12" width="12.85546875" bestFit="1" customWidth="1"/>
    <col min="13" max="13" width="21.5703125" customWidth="1"/>
    <col min="14" max="14" width="11.7109375" bestFit="1" customWidth="1"/>
    <col min="23" max="23" width="18" customWidth="1"/>
  </cols>
  <sheetData>
    <row r="1" spans="1:10" x14ac:dyDescent="0.25">
      <c r="A1" t="s">
        <v>16</v>
      </c>
      <c r="B1">
        <v>650</v>
      </c>
    </row>
    <row r="2" spans="1:10" x14ac:dyDescent="0.25">
      <c r="A2" t="s">
        <v>17</v>
      </c>
      <c r="B2">
        <v>300</v>
      </c>
    </row>
    <row r="4" spans="1:10" x14ac:dyDescent="0.25">
      <c r="A4" s="42" t="s">
        <v>107</v>
      </c>
      <c r="B4" s="2" t="s">
        <v>12</v>
      </c>
      <c r="C4" s="2" t="s">
        <v>13</v>
      </c>
      <c r="D4" s="2" t="s">
        <v>14</v>
      </c>
      <c r="E4" s="2" t="s">
        <v>15</v>
      </c>
      <c r="F4" s="2" t="s">
        <v>14</v>
      </c>
      <c r="G4" s="2" t="s">
        <v>12</v>
      </c>
    </row>
    <row r="5" spans="1:10" ht="40.5" customHeight="1" x14ac:dyDescent="0.25">
      <c r="A5" s="42"/>
      <c r="B5" s="2">
        <v>530</v>
      </c>
      <c r="C5" s="2">
        <v>430</v>
      </c>
      <c r="D5" s="2">
        <v>840</v>
      </c>
      <c r="E5" s="2">
        <v>940</v>
      </c>
      <c r="F5" s="2">
        <v>280</v>
      </c>
      <c r="G5" s="2">
        <v>480</v>
      </c>
    </row>
    <row r="10" spans="1:10" x14ac:dyDescent="0.25">
      <c r="A10" s="46" t="s">
        <v>18</v>
      </c>
      <c r="B10" s="46"/>
      <c r="C10" s="46"/>
      <c r="D10" s="46"/>
      <c r="E10" s="2"/>
      <c r="F10" s="2"/>
      <c r="G10" s="2"/>
      <c r="H10" s="47" t="s">
        <v>19</v>
      </c>
    </row>
    <row r="11" spans="1:10" x14ac:dyDescent="0.25">
      <c r="A11" s="1"/>
      <c r="B11" s="2" t="s">
        <v>12</v>
      </c>
      <c r="C11" s="2" t="s">
        <v>13</v>
      </c>
      <c r="D11" s="2" t="s">
        <v>14</v>
      </c>
      <c r="E11" s="34" t="s">
        <v>15</v>
      </c>
      <c r="F11" s="34" t="s">
        <v>14</v>
      </c>
      <c r="G11" s="34" t="s">
        <v>12</v>
      </c>
      <c r="H11" s="47"/>
      <c r="I11" s="3"/>
      <c r="J11" s="4"/>
    </row>
    <row r="12" spans="1:10" x14ac:dyDescent="0.25">
      <c r="A12" s="1" t="s">
        <v>20</v>
      </c>
      <c r="B12" s="5">
        <f>B5*$B$1</f>
        <v>344500</v>
      </c>
      <c r="C12" s="5">
        <f t="shared" ref="C12:G12" si="0">C5*$B$1</f>
        <v>279500</v>
      </c>
      <c r="D12" s="5">
        <f t="shared" si="0"/>
        <v>546000</v>
      </c>
      <c r="E12" s="5">
        <f t="shared" si="0"/>
        <v>611000</v>
      </c>
      <c r="F12" s="5">
        <f t="shared" si="0"/>
        <v>182000</v>
      </c>
      <c r="G12" s="5">
        <f t="shared" si="0"/>
        <v>312000</v>
      </c>
      <c r="H12" s="6">
        <f>SUM(B12:G12)</f>
        <v>2275000</v>
      </c>
    </row>
    <row r="14" spans="1:10" x14ac:dyDescent="0.25">
      <c r="A14" s="41" t="s">
        <v>77</v>
      </c>
      <c r="B14" s="41"/>
      <c r="C14" s="41"/>
      <c r="D14" s="41"/>
      <c r="E14" s="25"/>
      <c r="F14" s="25"/>
      <c r="G14" s="25"/>
      <c r="H14" s="47" t="s">
        <v>19</v>
      </c>
    </row>
    <row r="15" spans="1:10" x14ac:dyDescent="0.25">
      <c r="A15" s="1"/>
      <c r="B15" s="2" t="s">
        <v>12</v>
      </c>
      <c r="C15" s="2" t="s">
        <v>13</v>
      </c>
      <c r="D15" s="2" t="s">
        <v>14</v>
      </c>
      <c r="E15" s="34" t="s">
        <v>15</v>
      </c>
      <c r="F15" s="34" t="s">
        <v>14</v>
      </c>
      <c r="G15" s="34" t="s">
        <v>12</v>
      </c>
      <c r="H15" s="47"/>
    </row>
    <row r="16" spans="1:10" x14ac:dyDescent="0.25">
      <c r="A16" s="1" t="s">
        <v>21</v>
      </c>
      <c r="B16" s="5">
        <f>B5*$B$2</f>
        <v>159000</v>
      </c>
      <c r="C16" s="5">
        <f t="shared" ref="C16:G16" si="1">C5*$B$2</f>
        <v>129000</v>
      </c>
      <c r="D16" s="5">
        <f t="shared" si="1"/>
        <v>252000</v>
      </c>
      <c r="E16" s="5">
        <f t="shared" si="1"/>
        <v>282000</v>
      </c>
      <c r="F16" s="5">
        <f t="shared" si="1"/>
        <v>84000</v>
      </c>
      <c r="G16" s="5">
        <f t="shared" si="1"/>
        <v>144000</v>
      </c>
      <c r="H16" s="6">
        <f>SUM(B16:G16)</f>
        <v>1050000</v>
      </c>
    </row>
    <row r="17" spans="1:16" x14ac:dyDescent="0.25">
      <c r="A17" s="1" t="s">
        <v>73</v>
      </c>
      <c r="B17" s="7">
        <f>IF(B12&gt;300000,75000,0)</f>
        <v>75000</v>
      </c>
      <c r="C17" s="7">
        <f t="shared" ref="C17:G17" si="2">IF(C12&gt;300000,75000,0)</f>
        <v>0</v>
      </c>
      <c r="D17" s="7">
        <f t="shared" si="2"/>
        <v>75000</v>
      </c>
      <c r="E17" s="7">
        <f t="shared" si="2"/>
        <v>75000</v>
      </c>
      <c r="F17" s="7">
        <f t="shared" si="2"/>
        <v>0</v>
      </c>
      <c r="G17" s="7">
        <f t="shared" si="2"/>
        <v>75000</v>
      </c>
      <c r="H17" s="6">
        <f t="shared" ref="H17:H22" si="3">SUM(B17:G17)</f>
        <v>300000</v>
      </c>
    </row>
    <row r="18" spans="1:16" x14ac:dyDescent="0.25">
      <c r="A18" s="1" t="s">
        <v>74</v>
      </c>
      <c r="B18" s="7">
        <v>54000</v>
      </c>
      <c r="C18" s="7">
        <v>54000</v>
      </c>
      <c r="D18" s="7">
        <v>54000</v>
      </c>
      <c r="E18" s="7">
        <v>54000</v>
      </c>
      <c r="F18" s="7">
        <v>54000</v>
      </c>
      <c r="G18" s="7">
        <v>54000</v>
      </c>
      <c r="H18" s="6">
        <f t="shared" si="3"/>
        <v>324000</v>
      </c>
    </row>
    <row r="19" spans="1:16" x14ac:dyDescent="0.25">
      <c r="A19" s="1" t="s">
        <v>75</v>
      </c>
      <c r="B19" s="7"/>
      <c r="C19" s="7">
        <v>47000</v>
      </c>
      <c r="D19" s="7"/>
      <c r="E19" s="7"/>
      <c r="F19" s="7"/>
      <c r="G19" s="7">
        <v>39000</v>
      </c>
      <c r="H19" s="6">
        <f t="shared" si="3"/>
        <v>86000</v>
      </c>
    </row>
    <row r="20" spans="1:16" x14ac:dyDescent="0.25">
      <c r="A20" s="1" t="s">
        <v>76</v>
      </c>
      <c r="B20" s="7">
        <f>B12*0.003</f>
        <v>1033.5</v>
      </c>
      <c r="C20" s="7">
        <f t="shared" ref="C20:G20" si="4">C12*0.003</f>
        <v>838.5</v>
      </c>
      <c r="D20" s="7">
        <f t="shared" si="4"/>
        <v>1638</v>
      </c>
      <c r="E20" s="7">
        <f t="shared" si="4"/>
        <v>1833</v>
      </c>
      <c r="F20" s="7">
        <f t="shared" si="4"/>
        <v>546</v>
      </c>
      <c r="G20" s="7">
        <f t="shared" si="4"/>
        <v>936</v>
      </c>
      <c r="H20" s="6">
        <f t="shared" si="3"/>
        <v>6825</v>
      </c>
    </row>
    <row r="21" spans="1:16" x14ac:dyDescent="0.25">
      <c r="A21" s="1" t="s">
        <v>78</v>
      </c>
      <c r="B21" s="7">
        <v>48000</v>
      </c>
      <c r="C21" s="7">
        <f>B21</f>
        <v>48000</v>
      </c>
      <c r="D21" s="7">
        <f t="shared" ref="D21:F21" si="5">C21</f>
        <v>48000</v>
      </c>
      <c r="E21" s="7">
        <f t="shared" si="5"/>
        <v>48000</v>
      </c>
      <c r="F21" s="7">
        <f t="shared" si="5"/>
        <v>48000</v>
      </c>
      <c r="G21" s="7">
        <f>F21+B21/2</f>
        <v>72000</v>
      </c>
      <c r="H21" s="6">
        <f t="shared" si="3"/>
        <v>312000</v>
      </c>
    </row>
    <row r="22" spans="1:16" x14ac:dyDescent="0.25">
      <c r="A22" s="1" t="s">
        <v>79</v>
      </c>
      <c r="B22" s="7">
        <f>B21*0.42</f>
        <v>20160</v>
      </c>
      <c r="C22" s="7">
        <f t="shared" ref="C22:G22" si="6">C21*0.42</f>
        <v>20160</v>
      </c>
      <c r="D22" s="7">
        <f t="shared" si="6"/>
        <v>20160</v>
      </c>
      <c r="E22" s="7">
        <f t="shared" si="6"/>
        <v>20160</v>
      </c>
      <c r="F22" s="7">
        <f t="shared" si="6"/>
        <v>20160</v>
      </c>
      <c r="G22" s="7">
        <f t="shared" si="6"/>
        <v>30240</v>
      </c>
      <c r="H22" s="6">
        <f t="shared" si="3"/>
        <v>131040</v>
      </c>
    </row>
    <row r="23" spans="1:16" x14ac:dyDescent="0.25">
      <c r="A23" s="11" t="s">
        <v>19</v>
      </c>
      <c r="B23" s="12">
        <f>SUM(B16:B22)</f>
        <v>357193.5</v>
      </c>
      <c r="C23" s="12">
        <f t="shared" ref="C23:G23" si="7">SUM(C16:C22)</f>
        <v>298998.5</v>
      </c>
      <c r="D23" s="12">
        <f t="shared" si="7"/>
        <v>450798</v>
      </c>
      <c r="E23" s="12">
        <f t="shared" si="7"/>
        <v>480993</v>
      </c>
      <c r="F23" s="12">
        <f t="shared" si="7"/>
        <v>206706</v>
      </c>
      <c r="G23" s="12">
        <f t="shared" si="7"/>
        <v>415176</v>
      </c>
      <c r="H23" s="13">
        <f>SUM(B23:G23)</f>
        <v>2209865</v>
      </c>
    </row>
    <row r="25" spans="1:16" x14ac:dyDescent="0.25">
      <c r="A25" s="44" t="s">
        <v>30</v>
      </c>
      <c r="B25" s="45"/>
      <c r="C25" s="45"/>
      <c r="D25" s="45"/>
      <c r="E25" s="45"/>
      <c r="F25" s="45"/>
      <c r="G25" s="45"/>
    </row>
    <row r="26" spans="1:16" x14ac:dyDescent="0.25">
      <c r="A26" s="1"/>
      <c r="B26" s="2" t="s">
        <v>12</v>
      </c>
      <c r="C26" s="2" t="s">
        <v>13</v>
      </c>
      <c r="D26" s="2" t="s">
        <v>14</v>
      </c>
      <c r="E26" s="2" t="s">
        <v>15</v>
      </c>
      <c r="F26" s="2" t="s">
        <v>14</v>
      </c>
      <c r="G26" s="2" t="s">
        <v>12</v>
      </c>
    </row>
    <row r="27" spans="1:16" x14ac:dyDescent="0.25">
      <c r="A27" s="1" t="s">
        <v>32</v>
      </c>
      <c r="B27" s="19">
        <f>B12*0.2</f>
        <v>68900</v>
      </c>
      <c r="C27" s="19">
        <f t="shared" ref="C27:G27" si="8">C12*0.2</f>
        <v>55900</v>
      </c>
      <c r="D27" s="19">
        <f t="shared" si="8"/>
        <v>109200</v>
      </c>
      <c r="E27" s="19">
        <f t="shared" si="8"/>
        <v>122200</v>
      </c>
      <c r="F27" s="19">
        <f t="shared" si="8"/>
        <v>36400</v>
      </c>
      <c r="G27" s="19">
        <f t="shared" si="8"/>
        <v>62400</v>
      </c>
    </row>
    <row r="28" spans="1:16" x14ac:dyDescent="0.25">
      <c r="A28" s="1" t="s">
        <v>33</v>
      </c>
      <c r="B28" s="20">
        <f>(B16+B17+B19+B20)*0.2</f>
        <v>47006.700000000004</v>
      </c>
      <c r="C28" s="20">
        <f t="shared" ref="C28:G28" si="9">(C16+C17+C19+C20)*0.2</f>
        <v>35367.700000000004</v>
      </c>
      <c r="D28" s="20">
        <f t="shared" si="9"/>
        <v>65727.600000000006</v>
      </c>
      <c r="E28" s="20">
        <f t="shared" si="9"/>
        <v>71766.600000000006</v>
      </c>
      <c r="F28" s="20">
        <f t="shared" si="9"/>
        <v>16909.2</v>
      </c>
      <c r="G28" s="20">
        <f t="shared" si="9"/>
        <v>51787.200000000004</v>
      </c>
    </row>
    <row r="29" spans="1:16" x14ac:dyDescent="0.25">
      <c r="A29" s="1" t="s">
        <v>34</v>
      </c>
      <c r="B29" s="19">
        <f>B27-B28</f>
        <v>21893.299999999996</v>
      </c>
      <c r="C29" s="19">
        <f t="shared" ref="C29:G29" si="10">C27-C28</f>
        <v>20532.299999999996</v>
      </c>
      <c r="D29" s="19">
        <f t="shared" si="10"/>
        <v>43472.399999999994</v>
      </c>
      <c r="E29" s="19">
        <f t="shared" si="10"/>
        <v>50433.399999999994</v>
      </c>
      <c r="F29" s="19">
        <f t="shared" si="10"/>
        <v>19490.8</v>
      </c>
      <c r="G29" s="19">
        <f t="shared" si="10"/>
        <v>10612.799999999996</v>
      </c>
      <c r="M29" s="43" t="s">
        <v>22</v>
      </c>
      <c r="N29" s="43"/>
      <c r="O29" s="43"/>
      <c r="P29" s="43"/>
    </row>
    <row r="30" spans="1:16" x14ac:dyDescent="0.25">
      <c r="M30" s="46" t="s">
        <v>23</v>
      </c>
      <c r="N30" s="46"/>
      <c r="O30" s="8" t="s">
        <v>24</v>
      </c>
      <c r="P30" s="8"/>
    </row>
    <row r="31" spans="1:16" x14ac:dyDescent="0.25">
      <c r="M31" s="1" t="s">
        <v>25</v>
      </c>
      <c r="N31" s="9">
        <f>H16</f>
        <v>1050000</v>
      </c>
      <c r="O31" s="1" t="s">
        <v>26</v>
      </c>
      <c r="P31" s="10">
        <f>H12</f>
        <v>2275000</v>
      </c>
    </row>
    <row r="32" spans="1:16" x14ac:dyDescent="0.25">
      <c r="A32" s="41" t="s">
        <v>35</v>
      </c>
      <c r="B32" s="41"/>
      <c r="C32" s="41"/>
      <c r="D32" s="41"/>
      <c r="E32" s="41"/>
      <c r="F32" s="41"/>
      <c r="G32" s="41"/>
      <c r="H32" s="41"/>
      <c r="M32" s="1" t="s">
        <v>27</v>
      </c>
      <c r="N32" s="9">
        <f>SUM(H17:H20)</f>
        <v>716825</v>
      </c>
      <c r="O32" s="1"/>
      <c r="P32" s="1"/>
    </row>
    <row r="33" spans="1:23" x14ac:dyDescent="0.25">
      <c r="A33" s="1"/>
      <c r="B33" s="2" t="s">
        <v>12</v>
      </c>
      <c r="C33" s="2" t="s">
        <v>13</v>
      </c>
      <c r="D33" s="2" t="s">
        <v>14</v>
      </c>
      <c r="E33" t="s">
        <v>15</v>
      </c>
      <c r="F33" t="s">
        <v>14</v>
      </c>
      <c r="G33" t="s">
        <v>12</v>
      </c>
      <c r="H33" s="21" t="s">
        <v>36</v>
      </c>
      <c r="M33" s="1" t="s">
        <v>28</v>
      </c>
      <c r="N33" s="9">
        <f>H21+H22</f>
        <v>443040</v>
      </c>
      <c r="O33" s="1"/>
      <c r="P33" s="1"/>
    </row>
    <row r="34" spans="1:23" x14ac:dyDescent="0.25">
      <c r="A34" s="1" t="s">
        <v>37</v>
      </c>
      <c r="B34" s="5">
        <f>L40*1.2*J36+(L41*0.65*1.2)</f>
        <v>391872</v>
      </c>
      <c r="C34" s="5">
        <f>L41*1.2*0.25</f>
        <v>95745</v>
      </c>
      <c r="D34" s="5"/>
      <c r="E34" s="5"/>
      <c r="F34" s="5"/>
      <c r="G34" s="5"/>
      <c r="H34" s="6"/>
      <c r="J34" s="35">
        <v>0.1</v>
      </c>
      <c r="K34" t="s">
        <v>80</v>
      </c>
      <c r="M34" s="14" t="s">
        <v>29</v>
      </c>
      <c r="N34" s="15">
        <f>125000/8*6/12</f>
        <v>7812.5</v>
      </c>
      <c r="O34" s="1"/>
      <c r="P34" s="1"/>
    </row>
    <row r="35" spans="1:23" x14ac:dyDescent="0.25">
      <c r="A35" s="8" t="s">
        <v>38</v>
      </c>
      <c r="B35" s="5">
        <f>$B$12*0.1*1.2</f>
        <v>41340</v>
      </c>
      <c r="C35" s="5">
        <f>$B$12*0.65*1.2</f>
        <v>268710</v>
      </c>
      <c r="D35" s="5">
        <f>$B$12*0.25*1.2</f>
        <v>103350</v>
      </c>
      <c r="E35" s="5"/>
      <c r="F35" s="5"/>
      <c r="G35" s="5"/>
      <c r="H35" s="6"/>
      <c r="J35" s="35">
        <v>0.65</v>
      </c>
      <c r="K35" t="s">
        <v>81</v>
      </c>
      <c r="M35" s="16" t="s">
        <v>102</v>
      </c>
      <c r="N35" s="17">
        <f>V56</f>
        <v>5699.2179693378921</v>
      </c>
      <c r="O35" s="1" t="s">
        <v>31</v>
      </c>
      <c r="P35" s="1"/>
    </row>
    <row r="36" spans="1:23" x14ac:dyDescent="0.25">
      <c r="A36" s="8" t="s">
        <v>39</v>
      </c>
      <c r="B36" s="10"/>
      <c r="C36" s="5">
        <f>$C$12*0.1*1.2</f>
        <v>33540</v>
      </c>
      <c r="D36" s="5">
        <f>$C$12*0.65*1.2</f>
        <v>218010</v>
      </c>
      <c r="E36" s="5">
        <f>C12*0.25*1.2</f>
        <v>83850</v>
      </c>
      <c r="F36" s="5"/>
      <c r="G36" s="5"/>
      <c r="H36" s="22"/>
      <c r="J36" s="35">
        <v>0.25</v>
      </c>
      <c r="K36" t="s">
        <v>82</v>
      </c>
      <c r="M36" s="18" t="s">
        <v>19</v>
      </c>
      <c r="N36" s="12">
        <f>SUM(N31:N35)</f>
        <v>2223376.7179693379</v>
      </c>
      <c r="O36" s="18" t="s">
        <v>19</v>
      </c>
      <c r="P36" s="12">
        <f>P31+P35</f>
        <v>2275000</v>
      </c>
    </row>
    <row r="37" spans="1:23" x14ac:dyDescent="0.25">
      <c r="A37" s="8" t="s">
        <v>40</v>
      </c>
      <c r="B37" s="10"/>
      <c r="C37" s="5"/>
      <c r="D37" s="5">
        <f>$D$12*0.1*1.2</f>
        <v>65520</v>
      </c>
      <c r="E37" s="5">
        <f>$D$12*0.65*1.2</f>
        <v>425880</v>
      </c>
      <c r="F37" s="5">
        <f>$D$12*0.25*1.2</f>
        <v>163800</v>
      </c>
      <c r="G37" s="5"/>
      <c r="H37" s="22"/>
      <c r="I37" s="36"/>
      <c r="P37" s="24">
        <f>P36-N36</f>
        <v>51623.282030662056</v>
      </c>
    </row>
    <row r="38" spans="1:23" x14ac:dyDescent="0.25">
      <c r="A38" s="8" t="s">
        <v>83</v>
      </c>
      <c r="B38" s="10"/>
      <c r="C38" s="5"/>
      <c r="D38" s="5"/>
      <c r="E38" s="5">
        <f>$E$12*0.1*1.2</f>
        <v>73320</v>
      </c>
      <c r="F38" s="5">
        <f>$E$12*0.65*1.2</f>
        <v>476580</v>
      </c>
      <c r="G38" s="5">
        <f>$E$12*0.25*1.2</f>
        <v>183300</v>
      </c>
      <c r="H38" s="22"/>
      <c r="I38" s="36"/>
    </row>
    <row r="39" spans="1:23" x14ac:dyDescent="0.25">
      <c r="A39" s="8" t="s">
        <v>84</v>
      </c>
      <c r="B39" s="10"/>
      <c r="C39" s="5"/>
      <c r="D39" s="5"/>
      <c r="E39" s="5"/>
      <c r="F39" s="5">
        <f>$F$12*0.1*1.2</f>
        <v>21840</v>
      </c>
      <c r="G39" s="5">
        <f>$F$12*0.65*1.2</f>
        <v>141960</v>
      </c>
      <c r="H39" s="22">
        <f>$F$12*0.25*1.2</f>
        <v>54600</v>
      </c>
      <c r="I39" s="36"/>
    </row>
    <row r="40" spans="1:23" x14ac:dyDescent="0.25">
      <c r="A40" s="8" t="s">
        <v>85</v>
      </c>
      <c r="B40" s="10"/>
      <c r="C40" s="5"/>
      <c r="D40" s="5"/>
      <c r="E40" s="5"/>
      <c r="F40" s="5"/>
      <c r="G40" s="5">
        <f>$G$12*0.1*1.2</f>
        <v>37440</v>
      </c>
      <c r="H40" s="22">
        <f>$G$12*0.65*1.2</f>
        <v>243360</v>
      </c>
      <c r="I40" s="22">
        <f>$G$12*0.25*1.2</f>
        <v>93600</v>
      </c>
      <c r="K40" t="s">
        <v>86</v>
      </c>
      <c r="L40" s="15">
        <f>733*B1</f>
        <v>476450</v>
      </c>
    </row>
    <row r="41" spans="1:23" x14ac:dyDescent="0.25">
      <c r="A41" s="8"/>
      <c r="B41" s="10"/>
      <c r="C41" s="5"/>
      <c r="D41" s="5"/>
      <c r="E41" s="5"/>
      <c r="F41" s="5"/>
      <c r="G41" s="5"/>
      <c r="H41" s="22"/>
      <c r="I41" s="36"/>
      <c r="K41" t="s">
        <v>87</v>
      </c>
      <c r="L41" s="15">
        <f>B1*491</f>
        <v>319150</v>
      </c>
    </row>
    <row r="42" spans="1:23" ht="30" x14ac:dyDescent="0.25">
      <c r="A42" s="11" t="s">
        <v>19</v>
      </c>
      <c r="B42" s="12">
        <f>SUM(B34:B41)</f>
        <v>433212</v>
      </c>
      <c r="C42" s="12">
        <f t="shared" ref="C42:I42" si="11">SUM(C34:C41)</f>
        <v>397995</v>
      </c>
      <c r="D42" s="12">
        <f t="shared" si="11"/>
        <v>386880</v>
      </c>
      <c r="E42" s="12">
        <f t="shared" si="11"/>
        <v>583050</v>
      </c>
      <c r="F42" s="12">
        <f t="shared" si="11"/>
        <v>662220</v>
      </c>
      <c r="G42" s="12">
        <f t="shared" si="11"/>
        <v>362700</v>
      </c>
      <c r="H42" s="13">
        <f t="shared" si="11"/>
        <v>297960</v>
      </c>
      <c r="I42" s="13">
        <f t="shared" si="11"/>
        <v>93600</v>
      </c>
      <c r="K42" t="s">
        <v>88</v>
      </c>
      <c r="L42" s="15">
        <f>B34+C34</f>
        <v>487617</v>
      </c>
      <c r="S42" s="1"/>
      <c r="T42" s="25" t="s">
        <v>105</v>
      </c>
      <c r="U42" s="25" t="s">
        <v>103</v>
      </c>
      <c r="V42" s="25" t="s">
        <v>104</v>
      </c>
      <c r="W42" s="40" t="s">
        <v>106</v>
      </c>
    </row>
    <row r="43" spans="1:23" x14ac:dyDescent="0.25">
      <c r="S43" s="1" t="s">
        <v>0</v>
      </c>
      <c r="T43" s="10">
        <f>P76</f>
        <v>405000</v>
      </c>
      <c r="U43" s="1">
        <v>11000</v>
      </c>
      <c r="V43" s="10">
        <f>T43*0.03/12</f>
        <v>1012.5</v>
      </c>
      <c r="W43" s="10">
        <f>U43-V43</f>
        <v>9987.5</v>
      </c>
    </row>
    <row r="44" spans="1:23" x14ac:dyDescent="0.25">
      <c r="K44" t="s">
        <v>98</v>
      </c>
      <c r="L44">
        <v>32000</v>
      </c>
      <c r="S44" s="1" t="s">
        <v>1</v>
      </c>
      <c r="T44" s="10">
        <f>T43-W43</f>
        <v>395012.5</v>
      </c>
      <c r="U44" s="1">
        <v>11000</v>
      </c>
      <c r="V44" s="10">
        <f t="shared" ref="V44:V54" si="12">T44*0.03/12</f>
        <v>987.53125</v>
      </c>
      <c r="W44" s="10">
        <f t="shared" ref="W44:W54" si="13">U44-V44</f>
        <v>10012.46875</v>
      </c>
    </row>
    <row r="45" spans="1:23" x14ac:dyDescent="0.25">
      <c r="A45" s="41" t="s">
        <v>41</v>
      </c>
      <c r="B45" s="41"/>
      <c r="C45" s="41"/>
      <c r="D45" s="41"/>
      <c r="E45" s="41"/>
      <c r="F45" s="41"/>
      <c r="G45" s="41"/>
      <c r="H45" s="41"/>
      <c r="K45" t="s">
        <v>99</v>
      </c>
      <c r="L45">
        <v>19000</v>
      </c>
      <c r="S45" s="1" t="s">
        <v>2</v>
      </c>
      <c r="T45" s="10">
        <f t="shared" ref="T45:T54" si="14">T44-W44</f>
        <v>385000.03125</v>
      </c>
      <c r="U45" s="1">
        <v>11000</v>
      </c>
      <c r="V45" s="10">
        <f t="shared" si="12"/>
        <v>962.50007812499996</v>
      </c>
      <c r="W45" s="10">
        <f t="shared" si="13"/>
        <v>10037.499921875</v>
      </c>
    </row>
    <row r="46" spans="1:23" x14ac:dyDescent="0.25">
      <c r="A46" s="1"/>
      <c r="B46" s="2" t="s">
        <v>12</v>
      </c>
      <c r="C46" s="2" t="s">
        <v>13</v>
      </c>
      <c r="D46" s="23" t="s">
        <v>14</v>
      </c>
      <c r="E46" t="s">
        <v>15</v>
      </c>
      <c r="F46" t="s">
        <v>14</v>
      </c>
      <c r="G46" t="s">
        <v>12</v>
      </c>
      <c r="H46" s="21" t="s">
        <v>42</v>
      </c>
      <c r="S46" s="1" t="s">
        <v>3</v>
      </c>
      <c r="T46" s="10">
        <f t="shared" si="14"/>
        <v>374962.53132812498</v>
      </c>
      <c r="U46" s="1">
        <v>11000</v>
      </c>
      <c r="V46" s="10">
        <f t="shared" si="12"/>
        <v>937.40632832031235</v>
      </c>
      <c r="W46" s="10">
        <f t="shared" si="13"/>
        <v>10062.593671679688</v>
      </c>
    </row>
    <row r="47" spans="1:23" x14ac:dyDescent="0.25">
      <c r="A47" s="1" t="s">
        <v>43</v>
      </c>
      <c r="B47" s="5">
        <v>102000</v>
      </c>
      <c r="C47" s="5"/>
      <c r="D47" s="5"/>
      <c r="E47" s="5"/>
      <c r="F47" s="5"/>
      <c r="G47" s="5"/>
      <c r="H47" s="6"/>
      <c r="J47" t="s">
        <v>95</v>
      </c>
      <c r="S47" s="1" t="s">
        <v>4</v>
      </c>
      <c r="T47" s="10">
        <f t="shared" si="14"/>
        <v>364899.93765644531</v>
      </c>
      <c r="U47" s="1">
        <v>11000</v>
      </c>
      <c r="V47" s="10">
        <f t="shared" si="12"/>
        <v>912.24984414111316</v>
      </c>
      <c r="W47" s="10">
        <f t="shared" si="13"/>
        <v>10087.750155858887</v>
      </c>
    </row>
    <row r="48" spans="1:23" x14ac:dyDescent="0.25">
      <c r="A48" s="1" t="s">
        <v>89</v>
      </c>
      <c r="B48" s="5">
        <f>B16*1.2*0.3</f>
        <v>57240</v>
      </c>
      <c r="C48" s="5">
        <f>B16*1.2*0.7</f>
        <v>133560</v>
      </c>
      <c r="D48" s="5"/>
      <c r="E48" s="5"/>
      <c r="F48" s="5"/>
      <c r="G48" s="5"/>
      <c r="H48" s="6"/>
      <c r="J48" t="s">
        <v>96</v>
      </c>
      <c r="K48" t="s">
        <v>100</v>
      </c>
      <c r="L48">
        <v>102000</v>
      </c>
      <c r="S48" s="1" t="s">
        <v>5</v>
      </c>
      <c r="T48" s="10">
        <f t="shared" si="14"/>
        <v>354812.18750058644</v>
      </c>
      <c r="U48" s="1">
        <v>11000</v>
      </c>
      <c r="V48" s="10">
        <f t="shared" si="12"/>
        <v>887.03046875146617</v>
      </c>
      <c r="W48" s="10">
        <f t="shared" si="13"/>
        <v>10112.969531248535</v>
      </c>
    </row>
    <row r="49" spans="1:23" x14ac:dyDescent="0.25">
      <c r="A49" s="1" t="s">
        <v>90</v>
      </c>
      <c r="B49" s="5"/>
      <c r="C49" s="5">
        <f>C16*1.2*0.3</f>
        <v>46440</v>
      </c>
      <c r="D49" s="5">
        <f>C16*1.2*0.7</f>
        <v>108360</v>
      </c>
      <c r="E49" s="5"/>
      <c r="F49" s="5"/>
      <c r="G49" s="5"/>
      <c r="H49" s="6"/>
      <c r="S49" s="1" t="s">
        <v>6</v>
      </c>
      <c r="T49" s="10">
        <f t="shared" si="14"/>
        <v>344699.21796933789</v>
      </c>
      <c r="U49" s="1">
        <v>11000</v>
      </c>
      <c r="V49" s="10">
        <f t="shared" si="12"/>
        <v>861.74804492334476</v>
      </c>
      <c r="W49" s="10">
        <f t="shared" si="13"/>
        <v>10138.251955076656</v>
      </c>
    </row>
    <row r="50" spans="1:23" x14ac:dyDescent="0.25">
      <c r="A50" s="1" t="s">
        <v>91</v>
      </c>
      <c r="B50" s="5"/>
      <c r="C50" s="5"/>
      <c r="D50" s="5">
        <f>D16*1.2*0.3</f>
        <v>90720</v>
      </c>
      <c r="E50" s="5">
        <f>D16*1.2*0.7</f>
        <v>211680</v>
      </c>
      <c r="F50" s="5"/>
      <c r="G50" s="5"/>
      <c r="H50" s="6"/>
      <c r="S50" s="1" t="s">
        <v>7</v>
      </c>
      <c r="T50" s="10">
        <f t="shared" si="14"/>
        <v>334560.96601426124</v>
      </c>
      <c r="U50" s="1">
        <v>11000</v>
      </c>
      <c r="V50" s="10">
        <f t="shared" si="12"/>
        <v>836.40241503565312</v>
      </c>
      <c r="W50" s="10">
        <f t="shared" si="13"/>
        <v>10163.597584964347</v>
      </c>
    </row>
    <row r="51" spans="1:23" x14ac:dyDescent="0.25">
      <c r="A51" s="1" t="s">
        <v>92</v>
      </c>
      <c r="B51" s="5"/>
      <c r="C51" s="5"/>
      <c r="D51" s="5"/>
      <c r="E51" s="5">
        <f>E16*1.2*0.3</f>
        <v>101520</v>
      </c>
      <c r="F51" s="5">
        <f>E16*1.2*0.7</f>
        <v>236879.99999999997</v>
      </c>
      <c r="G51" s="5"/>
      <c r="H51" s="6"/>
      <c r="S51" s="1" t="s">
        <v>8</v>
      </c>
      <c r="T51" s="10">
        <f t="shared" si="14"/>
        <v>324397.36842929688</v>
      </c>
      <c r="U51" s="1">
        <v>11000</v>
      </c>
      <c r="V51" s="10">
        <f t="shared" si="12"/>
        <v>810.99342107324219</v>
      </c>
      <c r="W51" s="10">
        <f t="shared" si="13"/>
        <v>10189.006578926757</v>
      </c>
    </row>
    <row r="52" spans="1:23" x14ac:dyDescent="0.25">
      <c r="A52" s="1" t="s">
        <v>93</v>
      </c>
      <c r="B52" s="5"/>
      <c r="C52" s="5"/>
      <c r="D52" s="5"/>
      <c r="E52" s="5"/>
      <c r="F52" s="5">
        <f>F16*1.2*0.3</f>
        <v>30240</v>
      </c>
      <c r="G52" s="5">
        <f>F16*1.2*0.7</f>
        <v>70560</v>
      </c>
      <c r="H52" s="6"/>
      <c r="S52" s="1" t="s">
        <v>9</v>
      </c>
      <c r="T52" s="10">
        <f t="shared" si="14"/>
        <v>314208.36185037013</v>
      </c>
      <c r="U52" s="1">
        <v>11000</v>
      </c>
      <c r="V52" s="10">
        <f t="shared" si="12"/>
        <v>785.52090462592525</v>
      </c>
      <c r="W52" s="10">
        <f t="shared" si="13"/>
        <v>10214.479095374074</v>
      </c>
    </row>
    <row r="53" spans="1:23" x14ac:dyDescent="0.25">
      <c r="A53" s="8" t="s">
        <v>94</v>
      </c>
      <c r="B53" s="10"/>
      <c r="C53" s="10"/>
      <c r="D53" s="10"/>
      <c r="E53" s="10"/>
      <c r="F53" s="10"/>
      <c r="G53" s="5">
        <f>G16*1.2*0.3</f>
        <v>51840</v>
      </c>
      <c r="H53" s="22">
        <f>G16*1.2*0.7</f>
        <v>120959.99999999999</v>
      </c>
      <c r="S53" s="1" t="s">
        <v>10</v>
      </c>
      <c r="T53" s="10">
        <f t="shared" si="14"/>
        <v>303993.88275499607</v>
      </c>
      <c r="U53" s="1">
        <v>11000</v>
      </c>
      <c r="V53" s="10">
        <f t="shared" si="12"/>
        <v>759.98470688749012</v>
      </c>
      <c r="W53" s="10">
        <f t="shared" si="13"/>
        <v>10240.01529311251</v>
      </c>
    </row>
    <row r="54" spans="1:23" x14ac:dyDescent="0.25">
      <c r="A54" s="1" t="s">
        <v>97</v>
      </c>
      <c r="B54" s="5">
        <f>(B17+B19+B20)*1.2+B18</f>
        <v>145240.20000000001</v>
      </c>
      <c r="C54" s="5">
        <f t="shared" ref="C54:G54" si="15">(C17+C19+C20)*1.2+C18</f>
        <v>111406.2</v>
      </c>
      <c r="D54" s="5">
        <f t="shared" si="15"/>
        <v>145965.59999999998</v>
      </c>
      <c r="E54" s="5">
        <f t="shared" si="15"/>
        <v>146199.59999999998</v>
      </c>
      <c r="F54" s="5">
        <f t="shared" si="15"/>
        <v>54655.199999999997</v>
      </c>
      <c r="G54" s="5">
        <f t="shared" si="15"/>
        <v>191923.19999999998</v>
      </c>
      <c r="H54" s="22"/>
      <c r="S54" s="1" t="s">
        <v>11</v>
      </c>
      <c r="T54" s="10">
        <f t="shared" si="14"/>
        <v>293753.86746188358</v>
      </c>
      <c r="U54" s="1">
        <v>11000</v>
      </c>
      <c r="V54" s="10">
        <f t="shared" si="12"/>
        <v>734.38466865470889</v>
      </c>
      <c r="W54" s="10">
        <f t="shared" si="13"/>
        <v>10265.615331345291</v>
      </c>
    </row>
    <row r="55" spans="1:23" x14ac:dyDescent="0.25">
      <c r="A55" s="1" t="s">
        <v>45</v>
      </c>
      <c r="B55" s="5">
        <f>B21*0.78</f>
        <v>37440</v>
      </c>
      <c r="C55" s="5">
        <f t="shared" ref="C55:G55" si="16">C21*0.78</f>
        <v>37440</v>
      </c>
      <c r="D55" s="5">
        <f t="shared" si="16"/>
        <v>37440</v>
      </c>
      <c r="E55" s="5">
        <f t="shared" si="16"/>
        <v>37440</v>
      </c>
      <c r="F55" s="5">
        <f t="shared" si="16"/>
        <v>37440</v>
      </c>
      <c r="G55" s="5">
        <f t="shared" si="16"/>
        <v>56160</v>
      </c>
      <c r="H55" s="6"/>
    </row>
    <row r="56" spans="1:23" x14ac:dyDescent="0.25">
      <c r="A56" s="1" t="s">
        <v>49</v>
      </c>
      <c r="B56" s="5">
        <v>32000</v>
      </c>
      <c r="C56" s="5">
        <f>B22+(B21-B55)</f>
        <v>30720</v>
      </c>
      <c r="D56" s="5">
        <f t="shared" ref="D56:H56" si="17">C22+(C21-C55)</f>
        <v>30720</v>
      </c>
      <c r="E56" s="5">
        <f t="shared" si="17"/>
        <v>30720</v>
      </c>
      <c r="F56" s="5">
        <f t="shared" si="17"/>
        <v>30720</v>
      </c>
      <c r="G56" s="5">
        <f t="shared" si="17"/>
        <v>30720</v>
      </c>
      <c r="H56" s="22">
        <f t="shared" si="17"/>
        <v>46080</v>
      </c>
      <c r="L56" s="24"/>
      <c r="V56" s="24">
        <f>SUM(V43:V48)</f>
        <v>5699.2179693378921</v>
      </c>
    </row>
    <row r="57" spans="1:23" x14ac:dyDescent="0.25">
      <c r="A57" s="1" t="s">
        <v>52</v>
      </c>
      <c r="B57" s="5">
        <v>19000</v>
      </c>
      <c r="C57" s="5">
        <f>B29</f>
        <v>21893.299999999996</v>
      </c>
      <c r="D57" s="5">
        <f t="shared" ref="D57:H57" si="18">C29</f>
        <v>20532.299999999996</v>
      </c>
      <c r="E57" s="5">
        <f t="shared" si="18"/>
        <v>43472.399999999994</v>
      </c>
      <c r="F57" s="5">
        <f t="shared" si="18"/>
        <v>50433.399999999994</v>
      </c>
      <c r="G57" s="5">
        <f t="shared" si="18"/>
        <v>19490.8</v>
      </c>
      <c r="H57" s="22">
        <f t="shared" si="18"/>
        <v>10612.799999999996</v>
      </c>
    </row>
    <row r="58" spans="1:23" x14ac:dyDescent="0.25">
      <c r="A58" s="1" t="s">
        <v>103</v>
      </c>
      <c r="B58" s="5">
        <f>U43</f>
        <v>11000</v>
      </c>
      <c r="C58" s="5">
        <f>B58</f>
        <v>11000</v>
      </c>
      <c r="D58" s="5">
        <f t="shared" ref="D58:G58" si="19">C58</f>
        <v>11000</v>
      </c>
      <c r="E58" s="5">
        <f t="shared" si="19"/>
        <v>11000</v>
      </c>
      <c r="F58" s="5">
        <f t="shared" si="19"/>
        <v>11000</v>
      </c>
      <c r="G58" s="5">
        <f t="shared" si="19"/>
        <v>11000</v>
      </c>
      <c r="H58" s="22"/>
    </row>
    <row r="59" spans="1:23" x14ac:dyDescent="0.25">
      <c r="A59" s="11" t="s">
        <v>19</v>
      </c>
      <c r="B59" s="12">
        <f>SUM(B47:B58)</f>
        <v>403920.2</v>
      </c>
      <c r="C59" s="12">
        <f t="shared" ref="C59:G59" si="20">SUM(C47:C58)</f>
        <v>392459.5</v>
      </c>
      <c r="D59" s="12">
        <f t="shared" si="20"/>
        <v>444737.89999999997</v>
      </c>
      <c r="E59" s="12">
        <f t="shared" si="20"/>
        <v>582032</v>
      </c>
      <c r="F59" s="12">
        <f t="shared" si="20"/>
        <v>451368.6</v>
      </c>
      <c r="G59" s="12">
        <f t="shared" si="20"/>
        <v>431693.99999999994</v>
      </c>
      <c r="H59" s="12">
        <f>SUM(H47:H57)</f>
        <v>177652.8</v>
      </c>
      <c r="J59" s="24"/>
    </row>
    <row r="60" spans="1:23" x14ac:dyDescent="0.25">
      <c r="A60" s="27"/>
      <c r="B60" s="37"/>
      <c r="C60" s="37"/>
      <c r="D60" s="37"/>
      <c r="E60" s="37"/>
      <c r="F60" s="37"/>
      <c r="G60" s="37"/>
      <c r="H60" s="37"/>
    </row>
    <row r="61" spans="1:23" x14ac:dyDescent="0.25">
      <c r="A61" s="27"/>
      <c r="B61" s="28"/>
      <c r="C61" s="28"/>
      <c r="D61" s="28"/>
      <c r="E61" s="28"/>
      <c r="F61" s="28"/>
      <c r="G61" s="28"/>
      <c r="H61" s="28"/>
    </row>
    <row r="64" spans="1:23" x14ac:dyDescent="0.25">
      <c r="A64" s="43" t="s">
        <v>61</v>
      </c>
      <c r="B64" s="43"/>
      <c r="C64" s="43"/>
      <c r="D64" s="43"/>
      <c r="E64" s="33"/>
      <c r="F64" s="33"/>
      <c r="G64" s="33"/>
    </row>
    <row r="65" spans="1:16" x14ac:dyDescent="0.25">
      <c r="A65" s="1"/>
      <c r="B65" s="2" t="s">
        <v>12</v>
      </c>
      <c r="C65" s="2" t="s">
        <v>13</v>
      </c>
      <c r="D65" s="2" t="s">
        <v>14</v>
      </c>
      <c r="E65" s="34" t="s">
        <v>15</v>
      </c>
      <c r="F65" s="34" t="s">
        <v>14</v>
      </c>
      <c r="G65" s="34" t="s">
        <v>12</v>
      </c>
    </row>
    <row r="66" spans="1:16" x14ac:dyDescent="0.25">
      <c r="A66" s="1" t="s">
        <v>66</v>
      </c>
      <c r="B66" s="5">
        <v>208000</v>
      </c>
      <c r="C66" s="5">
        <f>B69</f>
        <v>237291.8</v>
      </c>
      <c r="D66" s="5">
        <f t="shared" ref="D66" si="21">C69</f>
        <v>242827.30000000005</v>
      </c>
      <c r="E66" s="5">
        <f t="shared" ref="E66" si="22">D69</f>
        <v>184969.40000000008</v>
      </c>
      <c r="F66" s="5">
        <f t="shared" ref="F66" si="23">E69</f>
        <v>185987.40000000014</v>
      </c>
      <c r="G66" s="5">
        <f t="shared" ref="G66" si="24">F69</f>
        <v>396838.80000000016</v>
      </c>
    </row>
    <row r="67" spans="1:16" x14ac:dyDescent="0.25">
      <c r="A67" s="31" t="s">
        <v>68</v>
      </c>
      <c r="B67" s="5">
        <f>B42</f>
        <v>433212</v>
      </c>
      <c r="C67" s="5">
        <f t="shared" ref="C67:G67" si="25">C42</f>
        <v>397995</v>
      </c>
      <c r="D67" s="5">
        <f t="shared" si="25"/>
        <v>386880</v>
      </c>
      <c r="E67" s="5">
        <f t="shared" si="25"/>
        <v>583050</v>
      </c>
      <c r="F67" s="5">
        <f t="shared" si="25"/>
        <v>662220</v>
      </c>
      <c r="G67" s="5">
        <f t="shared" si="25"/>
        <v>362700</v>
      </c>
    </row>
    <row r="68" spans="1:16" x14ac:dyDescent="0.25">
      <c r="A68" s="8" t="s">
        <v>70</v>
      </c>
      <c r="B68" s="10">
        <f>B59</f>
        <v>403920.2</v>
      </c>
      <c r="C68" s="10">
        <f t="shared" ref="C68:G68" si="26">C59</f>
        <v>392459.5</v>
      </c>
      <c r="D68" s="10">
        <f t="shared" si="26"/>
        <v>444737.89999999997</v>
      </c>
      <c r="E68" s="10">
        <f t="shared" si="26"/>
        <v>582032</v>
      </c>
      <c r="F68" s="10">
        <f t="shared" si="26"/>
        <v>451368.6</v>
      </c>
      <c r="G68" s="10">
        <f t="shared" si="26"/>
        <v>431693.99999999994</v>
      </c>
    </row>
    <row r="69" spans="1:16" x14ac:dyDescent="0.25">
      <c r="A69" s="1" t="s">
        <v>72</v>
      </c>
      <c r="B69" s="5">
        <f>B66+B67-B68</f>
        <v>237291.8</v>
      </c>
      <c r="C69" s="5">
        <f t="shared" ref="C69:G69" si="27">C66+C67-C68</f>
        <v>242827.30000000005</v>
      </c>
      <c r="D69" s="22">
        <f t="shared" si="27"/>
        <v>184969.40000000008</v>
      </c>
      <c r="E69" s="22">
        <f t="shared" si="27"/>
        <v>185987.40000000014</v>
      </c>
      <c r="F69" s="22">
        <f t="shared" si="27"/>
        <v>396838.80000000016</v>
      </c>
      <c r="G69" s="22">
        <f t="shared" si="27"/>
        <v>327844.80000000022</v>
      </c>
      <c r="H69" s="32"/>
    </row>
    <row r="70" spans="1:16" x14ac:dyDescent="0.25">
      <c r="M70" s="25" t="s">
        <v>46</v>
      </c>
      <c r="N70" s="1" t="s">
        <v>47</v>
      </c>
      <c r="O70" s="25" t="s">
        <v>48</v>
      </c>
      <c r="P70" s="1" t="s">
        <v>47</v>
      </c>
    </row>
    <row r="71" spans="1:16" x14ac:dyDescent="0.25">
      <c r="M71" s="26" t="s">
        <v>50</v>
      </c>
      <c r="N71" s="1"/>
      <c r="O71" s="26" t="s">
        <v>51</v>
      </c>
      <c r="P71" s="1"/>
    </row>
    <row r="72" spans="1:16" x14ac:dyDescent="0.25">
      <c r="M72" s="1" t="s">
        <v>53</v>
      </c>
      <c r="N72" s="5">
        <v>125000</v>
      </c>
      <c r="O72" s="1" t="s">
        <v>54</v>
      </c>
      <c r="P72" s="5">
        <v>120000</v>
      </c>
    </row>
    <row r="73" spans="1:16" x14ac:dyDescent="0.25">
      <c r="M73" s="1" t="s">
        <v>55</v>
      </c>
      <c r="N73" s="5">
        <v>-86617</v>
      </c>
      <c r="O73" s="1" t="s">
        <v>56</v>
      </c>
      <c r="P73" s="5">
        <v>56000</v>
      </c>
    </row>
    <row r="74" spans="1:16" x14ac:dyDescent="0.25">
      <c r="M74" s="18" t="s">
        <v>58</v>
      </c>
      <c r="N74" s="5">
        <f>N72+N73</f>
        <v>38383</v>
      </c>
      <c r="O74" s="18" t="s">
        <v>58</v>
      </c>
      <c r="P74" s="5">
        <f>P72+P73</f>
        <v>176000</v>
      </c>
    </row>
    <row r="75" spans="1:16" x14ac:dyDescent="0.25">
      <c r="M75" s="26" t="s">
        <v>59</v>
      </c>
      <c r="N75" s="5"/>
      <c r="O75" s="26" t="s">
        <v>60</v>
      </c>
      <c r="P75" s="5"/>
    </row>
    <row r="76" spans="1:16" x14ac:dyDescent="0.25">
      <c r="M76" s="26"/>
      <c r="N76" s="5"/>
      <c r="O76" s="39" t="s">
        <v>101</v>
      </c>
      <c r="P76" s="38">
        <v>405000</v>
      </c>
    </row>
    <row r="77" spans="1:16" x14ac:dyDescent="0.25">
      <c r="M77" s="1" t="s">
        <v>62</v>
      </c>
      <c r="N77" s="5">
        <f>L42</f>
        <v>487617</v>
      </c>
      <c r="O77" s="1" t="s">
        <v>63</v>
      </c>
      <c r="P77" s="5">
        <f>L48</f>
        <v>102000</v>
      </c>
    </row>
    <row r="78" spans="1:16" x14ac:dyDescent="0.25">
      <c r="M78" s="1" t="s">
        <v>64</v>
      </c>
      <c r="N78" s="5">
        <f>B66</f>
        <v>208000</v>
      </c>
      <c r="O78" s="1" t="s">
        <v>65</v>
      </c>
      <c r="P78" s="5">
        <f>L45</f>
        <v>19000</v>
      </c>
    </row>
    <row r="79" spans="1:16" x14ac:dyDescent="0.25">
      <c r="M79" s="1"/>
      <c r="N79" s="5"/>
      <c r="O79" s="1" t="s">
        <v>67</v>
      </c>
      <c r="P79" s="5">
        <f>L44</f>
        <v>32000</v>
      </c>
    </row>
    <row r="80" spans="1:16" x14ac:dyDescent="0.25">
      <c r="M80" s="18" t="s">
        <v>69</v>
      </c>
      <c r="N80" s="5">
        <f>SUM(N77:N78)</f>
        <v>695617</v>
      </c>
      <c r="O80" s="18" t="s">
        <v>69</v>
      </c>
      <c r="P80" s="5">
        <f>SUM(P75:P79)</f>
        <v>558000</v>
      </c>
    </row>
    <row r="81" spans="13:16" x14ac:dyDescent="0.25">
      <c r="M81" s="18" t="s">
        <v>71</v>
      </c>
      <c r="N81" s="5">
        <f>N80+N74</f>
        <v>734000</v>
      </c>
      <c r="O81" s="18" t="s">
        <v>71</v>
      </c>
      <c r="P81" s="5">
        <f>P80+P74</f>
        <v>734000</v>
      </c>
    </row>
    <row r="84" spans="13:16" x14ac:dyDescent="0.25">
      <c r="M84" s="43" t="s">
        <v>44</v>
      </c>
      <c r="N84" s="43"/>
      <c r="O84" s="43"/>
      <c r="P84" s="43"/>
    </row>
    <row r="85" spans="13:16" x14ac:dyDescent="0.25">
      <c r="M85" s="25" t="s">
        <v>46</v>
      </c>
      <c r="N85" s="1" t="s">
        <v>47</v>
      </c>
      <c r="O85" s="25" t="s">
        <v>48</v>
      </c>
      <c r="P85" s="1" t="s">
        <v>47</v>
      </c>
    </row>
    <row r="86" spans="13:16" x14ac:dyDescent="0.25">
      <c r="M86" s="26" t="s">
        <v>50</v>
      </c>
      <c r="O86" s="26" t="s">
        <v>51</v>
      </c>
      <c r="P86" s="1"/>
    </row>
    <row r="87" spans="13:16" x14ac:dyDescent="0.25">
      <c r="M87" s="1" t="s">
        <v>53</v>
      </c>
      <c r="N87" s="10">
        <f>N72</f>
        <v>125000</v>
      </c>
      <c r="O87" s="1" t="s">
        <v>54</v>
      </c>
      <c r="P87" s="5">
        <f>P72</f>
        <v>120000</v>
      </c>
    </row>
    <row r="88" spans="13:16" x14ac:dyDescent="0.25">
      <c r="M88" s="1" t="s">
        <v>55</v>
      </c>
      <c r="N88" s="5">
        <f>N73-N34</f>
        <v>-94429.5</v>
      </c>
      <c r="O88" s="1" t="s">
        <v>56</v>
      </c>
      <c r="P88" s="5">
        <f>P73</f>
        <v>56000</v>
      </c>
    </row>
    <row r="89" spans="13:16" x14ac:dyDescent="0.25">
      <c r="M89" s="1"/>
      <c r="N89" s="5"/>
      <c r="O89" s="16" t="s">
        <v>57</v>
      </c>
      <c r="P89" s="29">
        <f>P37</f>
        <v>51623.282030662056</v>
      </c>
    </row>
    <row r="90" spans="13:16" x14ac:dyDescent="0.25">
      <c r="M90" s="18" t="s">
        <v>58</v>
      </c>
      <c r="N90" s="5">
        <f>N87+N88</f>
        <v>30570.5</v>
      </c>
      <c r="O90" s="18" t="s">
        <v>58</v>
      </c>
      <c r="P90" s="5">
        <f>SUM(P87:P89)</f>
        <v>227623.28203066206</v>
      </c>
    </row>
    <row r="91" spans="13:16" x14ac:dyDescent="0.25">
      <c r="M91" s="26" t="s">
        <v>59</v>
      </c>
      <c r="N91" s="5"/>
      <c r="O91" s="26" t="s">
        <v>60</v>
      </c>
      <c r="P91" s="5"/>
    </row>
    <row r="92" spans="13:16" x14ac:dyDescent="0.25">
      <c r="O92" t="s">
        <v>101</v>
      </c>
      <c r="P92" s="24">
        <f>T49</f>
        <v>344699.21796933789</v>
      </c>
    </row>
    <row r="93" spans="13:16" x14ac:dyDescent="0.25">
      <c r="M93" s="1" t="s">
        <v>62</v>
      </c>
      <c r="N93" s="5">
        <f>H39+H40+I40</f>
        <v>391560</v>
      </c>
      <c r="O93" s="1" t="s">
        <v>63</v>
      </c>
      <c r="P93" s="5">
        <f>H53</f>
        <v>120959.99999999999</v>
      </c>
    </row>
    <row r="94" spans="13:16" x14ac:dyDescent="0.25">
      <c r="M94" s="30" t="s">
        <v>64</v>
      </c>
      <c r="N94" s="10">
        <f>G69</f>
        <v>327844.80000000022</v>
      </c>
      <c r="O94" s="1" t="s">
        <v>65</v>
      </c>
      <c r="P94" s="5">
        <f>H57</f>
        <v>10612.799999999996</v>
      </c>
    </row>
    <row r="95" spans="13:16" x14ac:dyDescent="0.25">
      <c r="M95" s="1"/>
      <c r="N95" s="1"/>
      <c r="O95" s="1" t="s">
        <v>67</v>
      </c>
      <c r="P95" s="5">
        <f>H56</f>
        <v>46080</v>
      </c>
    </row>
    <row r="96" spans="13:16" x14ac:dyDescent="0.25">
      <c r="M96" s="1"/>
      <c r="N96" s="1"/>
    </row>
    <row r="97" spans="13:18" x14ac:dyDescent="0.25">
      <c r="M97" s="18" t="s">
        <v>69</v>
      </c>
      <c r="N97" s="5">
        <f>SUM(N93:N94)</f>
        <v>719404.80000000028</v>
      </c>
      <c r="O97" s="18" t="s">
        <v>69</v>
      </c>
      <c r="P97" s="5">
        <f>SUM(P92:P96)</f>
        <v>522352.01796933787</v>
      </c>
    </row>
    <row r="98" spans="13:18" x14ac:dyDescent="0.25">
      <c r="M98" s="18" t="s">
        <v>71</v>
      </c>
      <c r="N98" s="5">
        <f>N97+N90</f>
        <v>749975.30000000028</v>
      </c>
      <c r="O98" s="18" t="s">
        <v>71</v>
      </c>
      <c r="P98" s="5">
        <f>P97+P90</f>
        <v>749975.29999999993</v>
      </c>
      <c r="R98" s="24">
        <f>P98-N98</f>
        <v>0</v>
      </c>
    </row>
  </sheetData>
  <mergeCells count="12">
    <mergeCell ref="A4:A5"/>
    <mergeCell ref="A32:H32"/>
    <mergeCell ref="A45:H45"/>
    <mergeCell ref="M84:P84"/>
    <mergeCell ref="A64:D64"/>
    <mergeCell ref="A25:G25"/>
    <mergeCell ref="A10:D10"/>
    <mergeCell ref="H10:H11"/>
    <mergeCell ref="A14:D14"/>
    <mergeCell ref="H14:H15"/>
    <mergeCell ref="M29:P29"/>
    <mergeCell ref="M30:N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 Eric</dc:creator>
  <cp:lastModifiedBy>NOEL Eric</cp:lastModifiedBy>
  <dcterms:created xsi:type="dcterms:W3CDTF">2022-06-19T09:24:36Z</dcterms:created>
  <dcterms:modified xsi:type="dcterms:W3CDTF">2023-03-12T14:22:42Z</dcterms:modified>
</cp:coreProperties>
</file>