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CG2P/R3 CG2P11/"/>
    </mc:Choice>
  </mc:AlternateContent>
  <xr:revisionPtr revIDLastSave="0" documentId="8_{59CA7C0F-FC4D-4D82-8099-2B08C0CC9F5D}" xr6:coauthVersionLast="36" xr6:coauthVersionMax="36" xr10:uidLastSave="{00000000-0000-0000-0000-000000000000}"/>
  <bookViews>
    <workbookView xWindow="0" yWindow="0" windowWidth="28800" windowHeight="11925" xr2:uid="{53CF40E0-9D74-4773-A8F0-2CF08E34E7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E19" i="1"/>
  <c r="C21" i="1"/>
  <c r="F21" i="1"/>
  <c r="B22" i="1"/>
  <c r="C22" i="1"/>
  <c r="D22" i="1"/>
  <c r="D23" i="1" s="1"/>
  <c r="C23" i="1" s="1"/>
  <c r="E22" i="1"/>
  <c r="F22" i="1"/>
  <c r="G22" i="1"/>
  <c r="B23" i="1"/>
  <c r="E23" i="1"/>
  <c r="G23" i="1"/>
  <c r="F23" i="1" s="1"/>
  <c r="F6" i="1"/>
  <c r="E56" i="1"/>
  <c r="B56" i="1"/>
  <c r="F7" i="1"/>
  <c r="C56" i="1" s="1"/>
  <c r="F56" i="1" s="1"/>
  <c r="D39" i="1"/>
  <c r="E24" i="1"/>
  <c r="B24" i="1"/>
  <c r="B26" i="1"/>
  <c r="B96" i="1"/>
  <c r="B97" i="1" s="1"/>
  <c r="D95" i="1"/>
  <c r="C78" i="1"/>
  <c r="B64" i="1"/>
  <c r="E63" i="1"/>
  <c r="E64" i="1" s="1"/>
  <c r="B63" i="1"/>
  <c r="G62" i="1"/>
  <c r="D62" i="1"/>
  <c r="B89" i="1" s="1"/>
  <c r="E55" i="1"/>
  <c r="E54" i="1"/>
  <c r="B54" i="1"/>
  <c r="B55" i="1" s="1"/>
  <c r="B45" i="1"/>
  <c r="B46" i="1" s="1"/>
  <c r="B48" i="1" s="1"/>
  <c r="E39" i="1"/>
  <c r="E45" i="1" s="1"/>
  <c r="E46" i="1" s="1"/>
  <c r="E48" i="1" s="1"/>
  <c r="E38" i="1"/>
  <c r="F38" i="1"/>
  <c r="G38" i="1" s="1"/>
  <c r="B38" i="1"/>
  <c r="I37" i="1"/>
  <c r="I38" i="1" s="1"/>
  <c r="H37" i="1"/>
  <c r="H38" i="1" s="1"/>
  <c r="E36" i="1"/>
  <c r="G35" i="1"/>
  <c r="E35" i="1"/>
  <c r="E37" i="1" s="1"/>
  <c r="B35" i="1"/>
  <c r="B37" i="1" s="1"/>
  <c r="G34" i="1"/>
  <c r="F34" i="1"/>
  <c r="B34" i="1"/>
  <c r="B36" i="1" s="1"/>
  <c r="B32" i="1"/>
  <c r="E14" i="1"/>
  <c r="B14" i="1"/>
  <c r="D7" i="1"/>
  <c r="F37" i="1" s="1"/>
  <c r="C37" i="1" s="1"/>
  <c r="D37" i="1" s="1"/>
  <c r="C7" i="1"/>
  <c r="C36" i="1" s="1"/>
  <c r="B7" i="1"/>
  <c r="C14" i="1" s="1"/>
  <c r="D14" i="1" s="1"/>
  <c r="D15" i="1" s="1"/>
  <c r="C15" i="1" s="1"/>
  <c r="C24" i="1" s="1"/>
  <c r="E6" i="1"/>
  <c r="E7" i="1" s="1"/>
  <c r="C6" i="1"/>
  <c r="B6" i="1"/>
  <c r="B4" i="1"/>
  <c r="B88" i="1" l="1"/>
  <c r="E49" i="1"/>
  <c r="B49" i="1"/>
  <c r="D55" i="1"/>
  <c r="D56" i="1"/>
  <c r="G37" i="1"/>
  <c r="D24" i="1"/>
  <c r="F32" i="1"/>
  <c r="G32" i="1" s="1"/>
  <c r="C25" i="1"/>
  <c r="D25" i="1" s="1"/>
  <c r="C32" i="1"/>
  <c r="D32" i="1"/>
  <c r="F36" i="1"/>
  <c r="G36" i="1" s="1"/>
  <c r="D36" i="1"/>
  <c r="G56" i="1"/>
  <c r="G55" i="1"/>
  <c r="D34" i="1"/>
  <c r="F14" i="1"/>
  <c r="G14" i="1" s="1"/>
  <c r="G15" i="1" s="1"/>
  <c r="F15" i="1" s="1"/>
  <c r="F24" i="1" s="1"/>
  <c r="D38" i="1"/>
  <c r="E25" i="1"/>
  <c r="D35" i="1"/>
  <c r="C80" i="1"/>
  <c r="F33" i="1" l="1"/>
  <c r="G33" i="1" s="1"/>
  <c r="G39" i="1" s="1"/>
  <c r="C33" i="1"/>
  <c r="D33" i="1" s="1"/>
  <c r="F25" i="1"/>
  <c r="G25" i="1" s="1"/>
  <c r="G24" i="1"/>
  <c r="E26" i="1"/>
  <c r="D88" i="1"/>
  <c r="D26" i="1"/>
  <c r="C26" i="1" s="1"/>
  <c r="B80" i="1"/>
  <c r="B81" i="1" s="1"/>
  <c r="C88" i="1" s="1"/>
  <c r="C81" i="1"/>
  <c r="C89" i="1" s="1"/>
  <c r="D89" i="1" s="1"/>
  <c r="G45" i="1" l="1"/>
  <c r="G46" i="1" s="1"/>
  <c r="F46" i="1" s="1"/>
  <c r="F47" i="1" s="1"/>
  <c r="F39" i="1"/>
  <c r="F45" i="1" s="1"/>
  <c r="C39" i="1"/>
  <c r="C45" i="1" s="1"/>
  <c r="D45" i="1"/>
  <c r="D46" i="1" s="1"/>
  <c r="C46" i="1" s="1"/>
  <c r="C47" i="1" s="1"/>
  <c r="G26" i="1"/>
  <c r="F26" i="1" s="1"/>
  <c r="F54" i="1" l="1"/>
  <c r="G47" i="1"/>
  <c r="F48" i="1"/>
  <c r="G48" i="1" s="1"/>
  <c r="C48" i="1"/>
  <c r="D48" i="1" s="1"/>
  <c r="D47" i="1"/>
  <c r="C54" i="1"/>
  <c r="D49" i="1" l="1"/>
  <c r="C49" i="1" s="1"/>
  <c r="C87" i="1"/>
  <c r="D87" i="1" s="1"/>
  <c r="D90" i="1" s="1"/>
  <c r="C90" i="1" s="1"/>
  <c r="C96" i="1" s="1"/>
  <c r="D96" i="1" s="1"/>
  <c r="D97" i="1" s="1"/>
  <c r="C97" i="1" s="1"/>
  <c r="C66" i="1"/>
  <c r="D54" i="1"/>
  <c r="D57" i="1" s="1"/>
  <c r="C57" i="1" s="1"/>
  <c r="C63" i="1" s="1"/>
  <c r="D63" i="1" s="1"/>
  <c r="D64" i="1" s="1"/>
  <c r="C64" i="1" s="1"/>
  <c r="G49" i="1"/>
  <c r="F49" i="1" s="1"/>
  <c r="G54" i="1"/>
  <c r="G57" i="1" s="1"/>
  <c r="F57" i="1" s="1"/>
  <c r="F63" i="1" s="1"/>
  <c r="G63" i="1" s="1"/>
  <c r="G64" i="1" s="1"/>
  <c r="F64" i="1" s="1"/>
  <c r="F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3" authorId="0" shapeId="0" xr:uid="{FC5F0CD4-80B2-4325-A5DC-61C25BEB986D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<sst xmlns="http://schemas.openxmlformats.org/spreadsheetml/2006/main" count="132" uniqueCount="62">
  <si>
    <t>Approvisionnement</t>
  </si>
  <si>
    <t>Atelier 1</t>
  </si>
  <si>
    <t>Atelier 2</t>
  </si>
  <si>
    <t>Distribution</t>
  </si>
  <si>
    <t>Administration</t>
  </si>
  <si>
    <t>R. Secondaire</t>
  </si>
  <si>
    <t>Unité d'œuvre</t>
  </si>
  <si>
    <t>1€ acheté</t>
  </si>
  <si>
    <t>Nombre d'heures de MOD de l'atelier 1</t>
  </si>
  <si>
    <t>Nombre d'heures de MOD de l'atelier 2</t>
  </si>
  <si>
    <t>Nombre de bagues vendues</t>
  </si>
  <si>
    <t>NB UO</t>
  </si>
  <si>
    <t>CUO</t>
  </si>
  <si>
    <t>COUT D'ACHAT DES PERLES ET DE L'ARGENT</t>
  </si>
  <si>
    <t>PERLES</t>
  </si>
  <si>
    <t>ARGENT</t>
  </si>
  <si>
    <t>Q</t>
  </si>
  <si>
    <t>PU</t>
  </si>
  <si>
    <t>M</t>
  </si>
  <si>
    <t>Achats</t>
  </si>
  <si>
    <t>CI Approvisionnement</t>
  </si>
  <si>
    <t xml:space="preserve">COUT D'ACHAT </t>
  </si>
  <si>
    <t>STOCKS DE MATIERES PREMIERES</t>
  </si>
  <si>
    <t>Stock Initial</t>
  </si>
  <si>
    <t>TOTAL</t>
  </si>
  <si>
    <t>Consommation</t>
  </si>
  <si>
    <t>Stock Final</t>
  </si>
  <si>
    <t>COUT DE PRODUCTION DES PRODUITS FABRIQUES</t>
  </si>
  <si>
    <t>B1</t>
  </si>
  <si>
    <t>B2</t>
  </si>
  <si>
    <t>Consommation de Perles</t>
  </si>
  <si>
    <t>Consommation d'Argent</t>
  </si>
  <si>
    <t>MOD Atelier 1</t>
  </si>
  <si>
    <t>MOD Atelier 2</t>
  </si>
  <si>
    <t>CI Atelier 1</t>
  </si>
  <si>
    <t>CI Atelier 2</t>
  </si>
  <si>
    <t>Résultat de la vente de déchèts</t>
  </si>
  <si>
    <t>STOCKS DE PRODUITS FINIS</t>
  </si>
  <si>
    <t>Production</t>
  </si>
  <si>
    <t>Ventes</t>
  </si>
  <si>
    <t>COUT DE REVIENT DES PRODUITS VENDUS</t>
  </si>
  <si>
    <t>Coût de production des produits vendus</t>
  </si>
  <si>
    <t>CI Distribution</t>
  </si>
  <si>
    <t>CI Administration</t>
  </si>
  <si>
    <t>Coût de revient</t>
  </si>
  <si>
    <t>RESULTAT ANALYTIQUE D'EXPLOITATION</t>
  </si>
  <si>
    <t>Cout de revient</t>
  </si>
  <si>
    <t>Résultat Analytique</t>
  </si>
  <si>
    <t xml:space="preserve">3-  Taux de marge : </t>
  </si>
  <si>
    <t>4 - La bague B2 est nettement plus rentable que la bague B1. Le bague B1 a une coût de production plus faible que son prix de vente, mais lorsque</t>
  </si>
  <si>
    <t xml:space="preserve">l'on prend en compte les frais d'administration et de distribution, cette bague n'est plus rentable. </t>
  </si>
  <si>
    <t>5a - Les charges demeurent identiques, c'est la répartition des charges entre les deux types de bagues qui va changer.</t>
  </si>
  <si>
    <t>5b- Pour l'instant la répartition est liée au nombre de bagues vendues. La bague B1 représente environ 87% des bagues vendues (21600 / 24800)</t>
  </si>
  <si>
    <t>Si le CA est le nouveau mode de répartiton la bague B1 ne représente plus que envirion 68% du CA (328320/(328320+150400)).</t>
  </si>
  <si>
    <t>Par conséquent, plus de charges indirectes de distribution et d'administration seront imputées à la bague B2</t>
  </si>
  <si>
    <t>6</t>
  </si>
  <si>
    <t>1000€ de CA</t>
  </si>
  <si>
    <t>CA</t>
  </si>
  <si>
    <t>7</t>
  </si>
  <si>
    <t>Le principal inconvénient de la méthode est lié aux choix de répartition des charges indirectes.</t>
  </si>
  <si>
    <t>En fonction de ces choix, la rentabilité d'un produit peut être totalement différente.</t>
  </si>
  <si>
    <t>100€ du coût de production des produits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</si>
</sst>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"/>
    <numFmt numFmtId="165" formatCode="_-* #,##0.00000\ &quot;€&quot;_-;\-* #,##0.000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1" applyFont="1" applyFill="1" applyBorder="1"/>
    <xf numFmtId="164" fontId="0" fillId="0" borderId="0" xfId="0" applyNumberFormat="1"/>
    <xf numFmtId="44" fontId="2" fillId="0" borderId="1" xfId="1" applyFont="1" applyBorder="1"/>
    <xf numFmtId="9" fontId="0" fillId="0" borderId="0" xfId="0" applyNumberFormat="1"/>
    <xf numFmtId="0" fontId="0" fillId="0" borderId="2" xfId="0" applyFill="1" applyBorder="1"/>
    <xf numFmtId="6" fontId="0" fillId="0" borderId="0" xfId="0" applyNumberFormat="1"/>
    <xf numFmtId="44" fontId="0" fillId="0" borderId="0" xfId="1" applyFont="1"/>
    <xf numFmtId="0" fontId="2" fillId="0" borderId="3" xfId="0" applyFont="1" applyBorder="1" applyAlignment="1">
      <alignment horizontal="center"/>
    </xf>
    <xf numFmtId="8" fontId="0" fillId="0" borderId="0" xfId="0" applyNumberFormat="1"/>
    <xf numFmtId="8" fontId="0" fillId="0" borderId="1" xfId="1" applyNumberFormat="1" applyFont="1" applyBorder="1"/>
    <xf numFmtId="0" fontId="2" fillId="0" borderId="1" xfId="0" applyFont="1" applyFill="1" applyBorder="1"/>
    <xf numFmtId="165" fontId="2" fillId="0" borderId="1" xfId="0" applyNumberFormat="1" applyFont="1" applyBorder="1"/>
    <xf numFmtId="44" fontId="0" fillId="2" borderId="1" xfId="1" applyFont="1" applyFill="1" applyBorder="1"/>
    <xf numFmtId="44" fontId="0" fillId="0" borderId="0" xfId="0" applyNumberFormat="1"/>
    <xf numFmtId="44" fontId="2" fillId="0" borderId="1" xfId="1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1" applyNumberFormat="1" applyFont="1" applyBorder="1"/>
    <xf numFmtId="0" fontId="0" fillId="0" borderId="0" xfId="0" quotePrefix="1"/>
    <xf numFmtId="10" fontId="0" fillId="0" borderId="0" xfId="2" applyNumberFormat="1" applyFont="1"/>
    <xf numFmtId="10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4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1" applyNumberFormat="1" applyFont="1" applyBorder="1"/>
    <xf numFmtId="0" fontId="2" fillId="0" borderId="0" xfId="0" applyFont="1" applyBorder="1"/>
    <xf numFmtId="44" fontId="2" fillId="0" borderId="0" xfId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3E62-66E4-43E3-9613-54FB19F03477}">
  <dimension ref="A3:P102"/>
  <sheetViews>
    <sheetView tabSelected="1" topLeftCell="A29" workbookViewId="0">
      <selection activeCell="J53" sqref="J53"/>
    </sheetView>
  </sheetViews>
  <sheetFormatPr baseColWidth="10" defaultRowHeight="15" x14ac:dyDescent="0.25"/>
  <cols>
    <col min="1" max="1" width="14.42578125" customWidth="1"/>
    <col min="2" max="2" width="14.28515625" customWidth="1"/>
    <col min="3" max="3" width="13" bestFit="1" customWidth="1"/>
    <col min="4" max="4" width="15.28515625" bestFit="1" customWidth="1"/>
    <col min="5" max="5" width="13.140625" customWidth="1"/>
    <col min="6" max="6" width="13.7109375" customWidth="1"/>
    <col min="7" max="7" width="15.28515625" bestFit="1" customWidth="1"/>
    <col min="8" max="8" width="20.28515625" customWidth="1"/>
  </cols>
  <sheetData>
    <row r="3" spans="1:7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7" x14ac:dyDescent="0.25">
      <c r="A4" s="1" t="s">
        <v>5</v>
      </c>
      <c r="B4" s="3">
        <f>48200*0.2</f>
        <v>9640</v>
      </c>
      <c r="C4" s="3">
        <v>62100</v>
      </c>
      <c r="D4" s="3">
        <v>14450</v>
      </c>
      <c r="E4" s="3">
        <v>22816</v>
      </c>
      <c r="F4" s="3">
        <v>43208</v>
      </c>
    </row>
    <row r="5" spans="1:7" ht="63" customHeight="1" x14ac:dyDescent="0.25">
      <c r="A5" s="1" t="s">
        <v>6</v>
      </c>
      <c r="B5" s="2" t="s">
        <v>7</v>
      </c>
      <c r="C5" s="4" t="s">
        <v>8</v>
      </c>
      <c r="D5" s="4" t="s">
        <v>9</v>
      </c>
      <c r="E5" s="4" t="s">
        <v>10</v>
      </c>
      <c r="F5" s="4" t="s">
        <v>61</v>
      </c>
    </row>
    <row r="6" spans="1:7" x14ac:dyDescent="0.25">
      <c r="A6" s="8" t="s">
        <v>11</v>
      </c>
      <c r="B6" s="9">
        <f>D13+G13</f>
        <v>48200</v>
      </c>
      <c r="C6" s="8">
        <f>2700</f>
        <v>2700</v>
      </c>
      <c r="D6" s="8">
        <v>850</v>
      </c>
      <c r="E6" s="8">
        <f>21600+3200</f>
        <v>24800</v>
      </c>
      <c r="F6" s="9">
        <f>(D54+G54)/100</f>
        <v>3928</v>
      </c>
    </row>
    <row r="7" spans="1:7" x14ac:dyDescent="0.25">
      <c r="A7" s="8" t="s">
        <v>12</v>
      </c>
      <c r="B7" s="9">
        <f>B4/B6</f>
        <v>0.2</v>
      </c>
      <c r="C7" s="9">
        <f t="shared" ref="C7:F7" si="0">C4/C6</f>
        <v>23</v>
      </c>
      <c r="D7" s="9">
        <f t="shared" si="0"/>
        <v>17</v>
      </c>
      <c r="E7" s="9">
        <f t="shared" si="0"/>
        <v>0.92</v>
      </c>
      <c r="F7" s="9">
        <f t="shared" si="0"/>
        <v>11</v>
      </c>
    </row>
    <row r="10" spans="1:7" x14ac:dyDescent="0.25">
      <c r="A10" s="6" t="s">
        <v>13</v>
      </c>
      <c r="B10" s="6"/>
      <c r="C10" s="6"/>
      <c r="D10" s="6"/>
      <c r="E10" s="6"/>
      <c r="F10" s="6"/>
      <c r="G10" s="6"/>
    </row>
    <row r="11" spans="1:7" x14ac:dyDescent="0.25">
      <c r="A11" s="1"/>
      <c r="B11" s="7" t="s">
        <v>14</v>
      </c>
      <c r="C11" s="7"/>
      <c r="D11" s="7"/>
      <c r="E11" s="7" t="s">
        <v>15</v>
      </c>
      <c r="F11" s="7"/>
      <c r="G11" s="7"/>
    </row>
    <row r="12" spans="1:7" x14ac:dyDescent="0.25">
      <c r="A12" s="1"/>
      <c r="B12" s="2" t="s">
        <v>16</v>
      </c>
      <c r="C12" s="2" t="s">
        <v>17</v>
      </c>
      <c r="D12" s="2" t="s">
        <v>18</v>
      </c>
      <c r="E12" s="2" t="s">
        <v>16</v>
      </c>
      <c r="F12" s="2" t="s">
        <v>17</v>
      </c>
      <c r="G12" s="2" t="s">
        <v>18</v>
      </c>
    </row>
    <row r="13" spans="1:7" x14ac:dyDescent="0.25">
      <c r="A13" s="1" t="s">
        <v>19</v>
      </c>
      <c r="B13" s="1">
        <v>20000</v>
      </c>
      <c r="C13" s="1"/>
      <c r="D13" s="3">
        <v>38000</v>
      </c>
      <c r="E13" s="1">
        <v>600</v>
      </c>
      <c r="F13" s="1"/>
      <c r="G13" s="3">
        <v>10200</v>
      </c>
    </row>
    <row r="14" spans="1:7" x14ac:dyDescent="0.25">
      <c r="A14" s="1" t="s">
        <v>20</v>
      </c>
      <c r="B14" s="5">
        <f>D13</f>
        <v>38000</v>
      </c>
      <c r="C14" s="5">
        <f>+B7</f>
        <v>0.2</v>
      </c>
      <c r="D14" s="5">
        <f>B14*C14</f>
        <v>7600</v>
      </c>
      <c r="E14" s="5">
        <f>G13</f>
        <v>10200</v>
      </c>
      <c r="F14" s="5">
        <f>B7</f>
        <v>0.2</v>
      </c>
      <c r="G14" s="5">
        <f>E14*F14</f>
        <v>2040</v>
      </c>
    </row>
    <row r="15" spans="1:7" x14ac:dyDescent="0.25">
      <c r="A15" s="8" t="s">
        <v>21</v>
      </c>
      <c r="B15" s="8">
        <v>20000</v>
      </c>
      <c r="C15" s="9">
        <f>D15/B15</f>
        <v>2.2799999999999998</v>
      </c>
      <c r="D15" s="9">
        <f>D13+D14</f>
        <v>45600</v>
      </c>
      <c r="E15" s="8">
        <v>600</v>
      </c>
      <c r="F15" s="9">
        <f>G15/E15</f>
        <v>20.399999999999999</v>
      </c>
      <c r="G15" s="9">
        <f>G13+G14</f>
        <v>12240</v>
      </c>
    </row>
    <row r="18" spans="1:12" x14ac:dyDescent="0.25">
      <c r="A18" s="10" t="s">
        <v>22</v>
      </c>
      <c r="B18" s="10"/>
      <c r="C18" s="10"/>
      <c r="D18" s="10"/>
      <c r="E18" s="10"/>
      <c r="F18" s="10"/>
      <c r="G18" s="10"/>
    </row>
    <row r="19" spans="1:12" x14ac:dyDescent="0.25">
      <c r="A19" s="11"/>
      <c r="B19" s="7" t="str">
        <f>+B11</f>
        <v>PERLES</v>
      </c>
      <c r="C19" s="7"/>
      <c r="D19" s="7"/>
      <c r="E19" s="7" t="str">
        <f>+E11</f>
        <v>ARGENT</v>
      </c>
      <c r="F19" s="7"/>
      <c r="G19" s="7"/>
    </row>
    <row r="20" spans="1:12" x14ac:dyDescent="0.25">
      <c r="A20" s="1"/>
      <c r="B20" s="2" t="s">
        <v>16</v>
      </c>
      <c r="C20" s="2" t="s">
        <v>17</v>
      </c>
      <c r="D20" s="2" t="s">
        <v>18</v>
      </c>
      <c r="E20" s="2" t="s">
        <v>16</v>
      </c>
      <c r="F20" s="2" t="s">
        <v>17</v>
      </c>
      <c r="G20" s="2" t="s">
        <v>18</v>
      </c>
    </row>
    <row r="21" spans="1:12" x14ac:dyDescent="0.25">
      <c r="A21" s="1" t="s">
        <v>23</v>
      </c>
      <c r="B21" s="1">
        <v>5000</v>
      </c>
      <c r="C21" s="12">
        <f>D21/B21</f>
        <v>2.38</v>
      </c>
      <c r="D21" s="3">
        <v>11900</v>
      </c>
      <c r="E21" s="1">
        <v>300</v>
      </c>
      <c r="F21" s="12">
        <f>G21/E21</f>
        <v>19.20000000000001</v>
      </c>
      <c r="G21" s="3">
        <v>5760.0000000000027</v>
      </c>
    </row>
    <row r="22" spans="1:12" x14ac:dyDescent="0.25">
      <c r="A22" s="1" t="s">
        <v>19</v>
      </c>
      <c r="B22" s="1">
        <f>+B15</f>
        <v>20000</v>
      </c>
      <c r="C22" s="3">
        <f>+C15</f>
        <v>2.2799999999999998</v>
      </c>
      <c r="D22" s="3">
        <f>+B22*C22</f>
        <v>45599.999999999993</v>
      </c>
      <c r="E22" s="1">
        <f>+E15</f>
        <v>600</v>
      </c>
      <c r="F22" s="3">
        <f>+F15</f>
        <v>20.399999999999999</v>
      </c>
      <c r="G22" s="3">
        <f>+E22*F22</f>
        <v>12240</v>
      </c>
      <c r="I22" s="13"/>
    </row>
    <row r="23" spans="1:12" x14ac:dyDescent="0.25">
      <c r="A23" s="8" t="s">
        <v>24</v>
      </c>
      <c r="B23" s="8">
        <f>B22+B21</f>
        <v>25000</v>
      </c>
      <c r="C23" s="14">
        <f>D23/B23</f>
        <v>2.2999999999999998</v>
      </c>
      <c r="D23" s="14">
        <f>D21+D22</f>
        <v>57499.999999999993</v>
      </c>
      <c r="E23" s="8">
        <f>E21+E22</f>
        <v>900</v>
      </c>
      <c r="F23" s="14">
        <f>G23/E23</f>
        <v>20.000000000000004</v>
      </c>
      <c r="G23" s="14">
        <f>G21+G22</f>
        <v>18000.000000000004</v>
      </c>
    </row>
    <row r="24" spans="1:12" x14ac:dyDescent="0.25">
      <c r="A24" s="1" t="s">
        <v>25</v>
      </c>
      <c r="B24" s="1">
        <f>20000+2400*1.25</f>
        <v>23000</v>
      </c>
      <c r="C24" s="3">
        <f>C23</f>
        <v>2.2999999999999998</v>
      </c>
      <c r="D24" s="3">
        <f>C24*B24</f>
        <v>52899.999999999993</v>
      </c>
      <c r="E24" s="1">
        <f>400+2/30*2400</f>
        <v>560</v>
      </c>
      <c r="F24" s="3">
        <f>F23</f>
        <v>20.000000000000004</v>
      </c>
      <c r="G24" s="3">
        <f>F24*E24</f>
        <v>11200.000000000002</v>
      </c>
    </row>
    <row r="25" spans="1:12" x14ac:dyDescent="0.25">
      <c r="A25" s="1" t="s">
        <v>26</v>
      </c>
      <c r="B25" s="1">
        <v>2000</v>
      </c>
      <c r="C25" s="3">
        <f>C24</f>
        <v>2.2999999999999998</v>
      </c>
      <c r="D25" s="3">
        <f>B25*C25</f>
        <v>4600</v>
      </c>
      <c r="E25" s="1">
        <f>E23-E24</f>
        <v>340</v>
      </c>
      <c r="F25" s="3">
        <f>F24</f>
        <v>20.000000000000004</v>
      </c>
      <c r="G25" s="3">
        <f>E25*F25</f>
        <v>6800.0000000000009</v>
      </c>
      <c r="K25" s="15"/>
    </row>
    <row r="26" spans="1:12" x14ac:dyDescent="0.25">
      <c r="A26" s="8" t="s">
        <v>24</v>
      </c>
      <c r="B26" s="8">
        <f>B24+B25</f>
        <v>25000</v>
      </c>
      <c r="C26" s="14">
        <f>D26/B26</f>
        <v>2.2999999999999998</v>
      </c>
      <c r="D26" s="14">
        <f>D24+D25</f>
        <v>57499.999999999993</v>
      </c>
      <c r="E26" s="8">
        <f>E24+E25</f>
        <v>900</v>
      </c>
      <c r="F26" s="14">
        <f>G26/E26</f>
        <v>20.000000000000004</v>
      </c>
      <c r="G26" s="14">
        <f>G24+G25</f>
        <v>18000.000000000004</v>
      </c>
      <c r="K26" s="15"/>
    </row>
    <row r="27" spans="1:12" x14ac:dyDescent="0.25">
      <c r="A27" s="16"/>
      <c r="L27" s="17"/>
    </row>
    <row r="28" spans="1:12" x14ac:dyDescent="0.25">
      <c r="L28" s="18"/>
    </row>
    <row r="29" spans="1:12" x14ac:dyDescent="0.25">
      <c r="A29" s="19" t="s">
        <v>27</v>
      </c>
      <c r="B29" s="19"/>
      <c r="C29" s="19"/>
      <c r="D29" s="19"/>
      <c r="E29" s="19"/>
      <c r="F29" s="19"/>
      <c r="G29" s="19"/>
      <c r="L29" s="20"/>
    </row>
    <row r="30" spans="1:12" x14ac:dyDescent="0.25">
      <c r="A30" s="1"/>
      <c r="B30" s="7" t="s">
        <v>28</v>
      </c>
      <c r="C30" s="7"/>
      <c r="D30" s="7"/>
      <c r="E30" s="7" t="s">
        <v>29</v>
      </c>
      <c r="F30" s="7"/>
      <c r="G30" s="7"/>
    </row>
    <row r="31" spans="1:12" x14ac:dyDescent="0.25">
      <c r="A31" s="1"/>
      <c r="B31" s="2" t="s">
        <v>16</v>
      </c>
      <c r="C31" s="2" t="s">
        <v>17</v>
      </c>
      <c r="D31" s="2" t="s">
        <v>18</v>
      </c>
      <c r="E31" s="2" t="s">
        <v>16</v>
      </c>
      <c r="F31" s="2" t="s">
        <v>17</v>
      </c>
      <c r="G31" s="2" t="s">
        <v>18</v>
      </c>
    </row>
    <row r="32" spans="1:12" x14ac:dyDescent="0.25">
      <c r="A32" s="1" t="s">
        <v>30</v>
      </c>
      <c r="B32" s="1">
        <f>20000</f>
        <v>20000</v>
      </c>
      <c r="C32" s="3">
        <f>C24</f>
        <v>2.2999999999999998</v>
      </c>
      <c r="D32" s="3">
        <f>B32*C32</f>
        <v>46000</v>
      </c>
      <c r="E32" s="1">
        <v>3000</v>
      </c>
      <c r="F32" s="3">
        <f>C24</f>
        <v>2.2999999999999998</v>
      </c>
      <c r="G32" s="3">
        <f>E32*F32</f>
        <v>6899.9999999999991</v>
      </c>
    </row>
    <row r="33" spans="1:9" x14ac:dyDescent="0.25">
      <c r="A33" s="1" t="s">
        <v>31</v>
      </c>
      <c r="B33" s="1">
        <v>400</v>
      </c>
      <c r="C33" s="3">
        <f>F24</f>
        <v>20.000000000000004</v>
      </c>
      <c r="D33" s="3">
        <f t="shared" ref="D33:D35" si="1">B33*C33</f>
        <v>8000.0000000000018</v>
      </c>
      <c r="E33" s="1">
        <v>160</v>
      </c>
      <c r="F33" s="3">
        <f>F24</f>
        <v>20.000000000000004</v>
      </c>
      <c r="G33" s="3">
        <f t="shared" ref="G33" si="2">E33*F33</f>
        <v>3200.0000000000005</v>
      </c>
    </row>
    <row r="34" spans="1:9" x14ac:dyDescent="0.25">
      <c r="A34" s="1" t="s">
        <v>32</v>
      </c>
      <c r="B34" s="1">
        <f>6*23000/60</f>
        <v>2300</v>
      </c>
      <c r="C34" s="3">
        <v>65</v>
      </c>
      <c r="D34" s="3">
        <f t="shared" si="1"/>
        <v>149500</v>
      </c>
      <c r="E34" s="1">
        <v>400</v>
      </c>
      <c r="F34" s="3">
        <f>+C34</f>
        <v>65</v>
      </c>
      <c r="G34" s="3">
        <f>+E34*F34</f>
        <v>26000</v>
      </c>
    </row>
    <row r="35" spans="1:9" x14ac:dyDescent="0.25">
      <c r="A35" s="1" t="s">
        <v>33</v>
      </c>
      <c r="B35" s="1">
        <f>850-E35</f>
        <v>450</v>
      </c>
      <c r="C35" s="3">
        <v>75</v>
      </c>
      <c r="D35" s="3">
        <f t="shared" si="1"/>
        <v>33750</v>
      </c>
      <c r="E35" s="1">
        <f>2400*10/60</f>
        <v>400</v>
      </c>
      <c r="F35" s="3">
        <v>75</v>
      </c>
      <c r="G35" s="3">
        <f>E35*F35</f>
        <v>30000</v>
      </c>
    </row>
    <row r="36" spans="1:9" x14ac:dyDescent="0.25">
      <c r="A36" s="1" t="s">
        <v>34</v>
      </c>
      <c r="B36" s="1">
        <f>B34</f>
        <v>2300</v>
      </c>
      <c r="C36" s="3">
        <f>C7</f>
        <v>23</v>
      </c>
      <c r="D36" s="3">
        <f>C36*B36</f>
        <v>52900</v>
      </c>
      <c r="E36" s="1">
        <f>+E34</f>
        <v>400</v>
      </c>
      <c r="F36" s="3">
        <f>+C36</f>
        <v>23</v>
      </c>
      <c r="G36" s="3">
        <f>E36*F36</f>
        <v>9200</v>
      </c>
    </row>
    <row r="37" spans="1:9" x14ac:dyDescent="0.25">
      <c r="A37" s="1" t="s">
        <v>35</v>
      </c>
      <c r="B37" s="1">
        <f>B35</f>
        <v>450</v>
      </c>
      <c r="C37" s="3">
        <f>+F37</f>
        <v>17</v>
      </c>
      <c r="D37" s="3">
        <f>C37*B37</f>
        <v>7650</v>
      </c>
      <c r="E37" s="1">
        <f>E35</f>
        <v>400</v>
      </c>
      <c r="F37" s="3">
        <f>D7</f>
        <v>17</v>
      </c>
      <c r="G37" s="3">
        <f>E37*F37</f>
        <v>6800</v>
      </c>
      <c r="H37">
        <f>250/23000</f>
        <v>1.0869565217391304E-2</v>
      </c>
      <c r="I37">
        <f>400/2400</f>
        <v>0.16666666666666666</v>
      </c>
    </row>
    <row r="38" spans="1:9" x14ac:dyDescent="0.25">
      <c r="A38" s="1" t="s">
        <v>36</v>
      </c>
      <c r="B38" s="1">
        <f>B33*0.1</f>
        <v>40</v>
      </c>
      <c r="C38" s="21">
        <v>-10</v>
      </c>
      <c r="D38" s="3">
        <f>C38*B38</f>
        <v>-400</v>
      </c>
      <c r="E38" s="1">
        <f>E33*0.1</f>
        <v>16</v>
      </c>
      <c r="F38" s="21">
        <f>C38</f>
        <v>-10</v>
      </c>
      <c r="G38" s="3">
        <f>E38*F38</f>
        <v>-160</v>
      </c>
      <c r="H38">
        <f>H37*60</f>
        <v>0.65217391304347827</v>
      </c>
      <c r="I38">
        <f>I37*60</f>
        <v>10</v>
      </c>
    </row>
    <row r="39" spans="1:9" x14ac:dyDescent="0.25">
      <c r="A39" s="22" t="s">
        <v>27</v>
      </c>
      <c r="B39" s="8">
        <v>23000</v>
      </c>
      <c r="C39" s="23">
        <f>D39/B39</f>
        <v>12.930434782608696</v>
      </c>
      <c r="D39" s="9">
        <f>SUM(D32:D38)</f>
        <v>297400</v>
      </c>
      <c r="E39" s="8">
        <f>2400</f>
        <v>2400</v>
      </c>
      <c r="F39" s="23">
        <f>G39/E39</f>
        <v>34.141666666666666</v>
      </c>
      <c r="G39" s="9">
        <f>SUM(G32:G38)</f>
        <v>81940</v>
      </c>
    </row>
    <row r="41" spans="1:9" x14ac:dyDescent="0.25">
      <c r="A41" s="10" t="s">
        <v>37</v>
      </c>
      <c r="B41" s="10"/>
      <c r="C41" s="10"/>
      <c r="D41" s="10"/>
      <c r="E41" s="10"/>
      <c r="F41" s="10"/>
      <c r="G41" s="10"/>
    </row>
    <row r="42" spans="1:9" x14ac:dyDescent="0.25">
      <c r="A42" s="11"/>
      <c r="B42" s="7" t="s">
        <v>28</v>
      </c>
      <c r="C42" s="7"/>
      <c r="D42" s="7"/>
      <c r="E42" s="7" t="s">
        <v>29</v>
      </c>
      <c r="F42" s="7"/>
      <c r="G42" s="7"/>
    </row>
    <row r="43" spans="1:9" x14ac:dyDescent="0.25">
      <c r="A43" s="1"/>
      <c r="B43" s="2" t="s">
        <v>16</v>
      </c>
      <c r="C43" s="2" t="s">
        <v>17</v>
      </c>
      <c r="D43" s="2" t="s">
        <v>18</v>
      </c>
      <c r="E43" s="2" t="s">
        <v>16</v>
      </c>
      <c r="F43" s="2" t="s">
        <v>17</v>
      </c>
      <c r="G43" s="2" t="s">
        <v>18</v>
      </c>
    </row>
    <row r="44" spans="1:9" x14ac:dyDescent="0.25">
      <c r="A44" s="1" t="s">
        <v>23</v>
      </c>
      <c r="B44" s="1">
        <v>3000</v>
      </c>
      <c r="C44" s="24"/>
      <c r="D44" s="3">
        <v>40599.999999999985</v>
      </c>
      <c r="E44" s="1">
        <v>1800</v>
      </c>
      <c r="F44" s="24"/>
      <c r="G44" s="3">
        <v>65060.000000000015</v>
      </c>
      <c r="H44" s="25"/>
    </row>
    <row r="45" spans="1:9" x14ac:dyDescent="0.25">
      <c r="A45" s="1" t="s">
        <v>38</v>
      </c>
      <c r="B45" s="1">
        <f>B39</f>
        <v>23000</v>
      </c>
      <c r="C45" s="3">
        <f>+C39</f>
        <v>12.930434782608696</v>
      </c>
      <c r="D45" s="5">
        <f>+D39</f>
        <v>297400</v>
      </c>
      <c r="E45" s="1">
        <f t="shared" ref="E45" si="3">E39</f>
        <v>2400</v>
      </c>
      <c r="F45" s="3">
        <f>+F39</f>
        <v>34.141666666666666</v>
      </c>
      <c r="G45" s="3">
        <f>+G39</f>
        <v>81940</v>
      </c>
    </row>
    <row r="46" spans="1:9" x14ac:dyDescent="0.25">
      <c r="A46" s="8" t="s">
        <v>24</v>
      </c>
      <c r="B46" s="8">
        <f>B45+B44</f>
        <v>26000</v>
      </c>
      <c r="C46" s="26">
        <f>D46/B46</f>
        <v>13</v>
      </c>
      <c r="D46" s="14">
        <f>D44+D45</f>
        <v>338000</v>
      </c>
      <c r="E46" s="8">
        <f>E44+E45</f>
        <v>4200</v>
      </c>
      <c r="F46" s="14">
        <f>G46/E46</f>
        <v>35</v>
      </c>
      <c r="G46" s="14">
        <f>G44+G45</f>
        <v>147000</v>
      </c>
    </row>
    <row r="47" spans="1:9" x14ac:dyDescent="0.25">
      <c r="A47" s="1" t="s">
        <v>39</v>
      </c>
      <c r="B47" s="1">
        <v>21600</v>
      </c>
      <c r="C47" s="3">
        <f>C46</f>
        <v>13</v>
      </c>
      <c r="D47" s="3">
        <f>C47*B47</f>
        <v>280800</v>
      </c>
      <c r="E47" s="1">
        <v>3200</v>
      </c>
      <c r="F47" s="3">
        <f>F46</f>
        <v>35</v>
      </c>
      <c r="G47" s="3">
        <f>F47*E47</f>
        <v>112000</v>
      </c>
    </row>
    <row r="48" spans="1:9" x14ac:dyDescent="0.25">
      <c r="A48" s="1" t="s">
        <v>26</v>
      </c>
      <c r="B48" s="1">
        <f>B46-B47</f>
        <v>4400</v>
      </c>
      <c r="C48" s="3">
        <f>C47</f>
        <v>13</v>
      </c>
      <c r="D48" s="3">
        <f>B48*C48</f>
        <v>57200</v>
      </c>
      <c r="E48" s="1">
        <f>E46-E47</f>
        <v>1000</v>
      </c>
      <c r="F48" s="3">
        <f>F47</f>
        <v>35</v>
      </c>
      <c r="G48" s="3">
        <f>E48*F48</f>
        <v>35000</v>
      </c>
    </row>
    <row r="49" spans="1:8" x14ac:dyDescent="0.25">
      <c r="A49" s="8" t="s">
        <v>24</v>
      </c>
      <c r="B49" s="8">
        <f>B47+B48</f>
        <v>26000</v>
      </c>
      <c r="C49" s="14">
        <f>D49/B49</f>
        <v>13</v>
      </c>
      <c r="D49" s="14">
        <f>D47+D48</f>
        <v>338000</v>
      </c>
      <c r="E49" s="8">
        <f>E47+E48</f>
        <v>4200</v>
      </c>
      <c r="F49" s="14">
        <f>G49/E49</f>
        <v>35</v>
      </c>
      <c r="G49" s="14">
        <f>G47+G48</f>
        <v>147000</v>
      </c>
    </row>
    <row r="51" spans="1:8" x14ac:dyDescent="0.25">
      <c r="A51" s="19" t="s">
        <v>40</v>
      </c>
      <c r="B51" s="19"/>
      <c r="C51" s="19"/>
      <c r="D51" s="19"/>
      <c r="E51" s="19"/>
      <c r="F51" s="19"/>
      <c r="G51" s="19"/>
    </row>
    <row r="52" spans="1:8" x14ac:dyDescent="0.25">
      <c r="A52" s="1"/>
      <c r="B52" s="27" t="s">
        <v>28</v>
      </c>
      <c r="C52" s="28"/>
      <c r="D52" s="29"/>
      <c r="E52" s="27" t="s">
        <v>29</v>
      </c>
      <c r="F52" s="28"/>
      <c r="G52" s="29"/>
    </row>
    <row r="53" spans="1:8" x14ac:dyDescent="0.25">
      <c r="A53" s="1"/>
      <c r="B53" s="2" t="s">
        <v>16</v>
      </c>
      <c r="C53" s="2" t="s">
        <v>17</v>
      </c>
      <c r="D53" s="2" t="s">
        <v>18</v>
      </c>
      <c r="E53" s="2" t="s">
        <v>16</v>
      </c>
      <c r="F53" s="2" t="s">
        <v>17</v>
      </c>
      <c r="G53" s="2" t="s">
        <v>18</v>
      </c>
    </row>
    <row r="54" spans="1:8" x14ac:dyDescent="0.25">
      <c r="A54" s="1" t="s">
        <v>41</v>
      </c>
      <c r="B54" s="1">
        <f>B47</f>
        <v>21600</v>
      </c>
      <c r="C54" s="3">
        <f>C47</f>
        <v>13</v>
      </c>
      <c r="D54" s="3">
        <f>B54*C54</f>
        <v>280800</v>
      </c>
      <c r="E54" s="1">
        <f>E47</f>
        <v>3200</v>
      </c>
      <c r="F54" s="3">
        <f>F47</f>
        <v>35</v>
      </c>
      <c r="G54" s="3">
        <f>E54*F54</f>
        <v>112000</v>
      </c>
    </row>
    <row r="55" spans="1:8" x14ac:dyDescent="0.25">
      <c r="A55" s="1" t="s">
        <v>42</v>
      </c>
      <c r="B55" s="1">
        <f>+B54</f>
        <v>21600</v>
      </c>
      <c r="C55" s="30">
        <v>0.92</v>
      </c>
      <c r="D55" s="3">
        <f t="shared" ref="D55:D56" si="4">B55*C55</f>
        <v>19872</v>
      </c>
      <c r="E55" s="1">
        <f>+E54</f>
        <v>3200</v>
      </c>
      <c r="F55" s="30">
        <v>0.92</v>
      </c>
      <c r="G55" s="3">
        <f t="shared" ref="G55:G56" si="5">E55*F55</f>
        <v>2944</v>
      </c>
    </row>
    <row r="56" spans="1:8" x14ac:dyDescent="0.25">
      <c r="A56" s="1" t="s">
        <v>43</v>
      </c>
      <c r="B56" s="5">
        <f>D54/100</f>
        <v>2808</v>
      </c>
      <c r="C56" s="3">
        <f>F7</f>
        <v>11</v>
      </c>
      <c r="D56" s="3">
        <f t="shared" si="4"/>
        <v>30888</v>
      </c>
      <c r="E56" s="5">
        <f>G54/100</f>
        <v>1120</v>
      </c>
      <c r="F56" s="3">
        <f>C56</f>
        <v>11</v>
      </c>
      <c r="G56" s="3">
        <f t="shared" si="5"/>
        <v>12320</v>
      </c>
    </row>
    <row r="57" spans="1:8" x14ac:dyDescent="0.25">
      <c r="A57" s="8" t="s">
        <v>44</v>
      </c>
      <c r="B57" s="8">
        <v>21600</v>
      </c>
      <c r="C57" s="14">
        <f>D57/B57</f>
        <v>15.35</v>
      </c>
      <c r="D57" s="14">
        <f>SUM(D54:D56)</f>
        <v>331560</v>
      </c>
      <c r="E57" s="8">
        <v>3200</v>
      </c>
      <c r="F57" s="14">
        <f>G57/E57</f>
        <v>39.770000000000003</v>
      </c>
      <c r="G57" s="14">
        <f>SUM(G54:G56)</f>
        <v>127264</v>
      </c>
    </row>
    <row r="59" spans="1:8" x14ac:dyDescent="0.25">
      <c r="A59" s="19" t="s">
        <v>45</v>
      </c>
      <c r="B59" s="19"/>
      <c r="C59" s="19"/>
      <c r="D59" s="19"/>
      <c r="E59" s="19"/>
      <c r="F59" s="19"/>
      <c r="G59" s="19"/>
    </row>
    <row r="60" spans="1:8" x14ac:dyDescent="0.25">
      <c r="A60" s="1"/>
      <c r="B60" s="7" t="s">
        <v>28</v>
      </c>
      <c r="C60" s="7"/>
      <c r="D60" s="7"/>
      <c r="E60" s="7" t="s">
        <v>29</v>
      </c>
      <c r="F60" s="7"/>
      <c r="G60" s="7"/>
    </row>
    <row r="61" spans="1:8" x14ac:dyDescent="0.25">
      <c r="A61" s="1"/>
      <c r="B61" s="2" t="s">
        <v>16</v>
      </c>
      <c r="C61" s="2" t="s">
        <v>17</v>
      </c>
      <c r="D61" s="2" t="s">
        <v>18</v>
      </c>
      <c r="E61" s="2" t="s">
        <v>16</v>
      </c>
      <c r="F61" s="2" t="s">
        <v>17</v>
      </c>
      <c r="G61" s="2" t="s">
        <v>18</v>
      </c>
    </row>
    <row r="62" spans="1:8" x14ac:dyDescent="0.25">
      <c r="A62" s="1" t="s">
        <v>57</v>
      </c>
      <c r="B62" s="1">
        <v>21600</v>
      </c>
      <c r="C62" s="3">
        <v>15.2</v>
      </c>
      <c r="D62" s="3">
        <f>B62*C62</f>
        <v>328320</v>
      </c>
      <c r="E62" s="1">
        <v>3200</v>
      </c>
      <c r="F62" s="3">
        <v>47</v>
      </c>
      <c r="G62" s="3">
        <f>E62*F62</f>
        <v>150400</v>
      </c>
    </row>
    <row r="63" spans="1:8" x14ac:dyDescent="0.25">
      <c r="A63" s="1" t="s">
        <v>46</v>
      </c>
      <c r="B63" s="1">
        <f>B62</f>
        <v>21600</v>
      </c>
      <c r="C63" s="30">
        <f>C57</f>
        <v>15.35</v>
      </c>
      <c r="D63" s="3">
        <f t="shared" ref="D63" si="6">B63*C63</f>
        <v>331560</v>
      </c>
      <c r="E63" s="1">
        <f>E62</f>
        <v>3200</v>
      </c>
      <c r="F63" s="30">
        <f>F57</f>
        <v>39.770000000000003</v>
      </c>
      <c r="G63" s="3">
        <f t="shared" ref="G63" si="7">E63*F63</f>
        <v>127264.00000000001</v>
      </c>
    </row>
    <row r="64" spans="1:8" x14ac:dyDescent="0.25">
      <c r="A64" s="8" t="s">
        <v>47</v>
      </c>
      <c r="B64" s="8">
        <f>B63</f>
        <v>21600</v>
      </c>
      <c r="C64" s="14">
        <f>D64/B64</f>
        <v>-0.15</v>
      </c>
      <c r="D64" s="14">
        <f>D62-D63</f>
        <v>-3240</v>
      </c>
      <c r="E64" s="8">
        <f>E63</f>
        <v>3200</v>
      </c>
      <c r="F64" s="14">
        <f>G64/E64</f>
        <v>7.2299999999999951</v>
      </c>
      <c r="G64" s="14">
        <f>G62-G63</f>
        <v>23135.999999999985</v>
      </c>
      <c r="H64" s="25"/>
    </row>
    <row r="66" spans="1:6" x14ac:dyDescent="0.25">
      <c r="A66" s="31" t="s">
        <v>48</v>
      </c>
      <c r="C66" s="32">
        <f>(C62-C54)/C54</f>
        <v>0.16923076923076918</v>
      </c>
      <c r="D66" s="33"/>
      <c r="E66" s="33"/>
      <c r="F66" s="32">
        <f>(F62-F54)/F54</f>
        <v>0.34285714285714286</v>
      </c>
    </row>
    <row r="68" spans="1:6" x14ac:dyDescent="0.25">
      <c r="A68" s="31" t="s">
        <v>49</v>
      </c>
    </row>
    <row r="69" spans="1:6" x14ac:dyDescent="0.25">
      <c r="A69" t="s">
        <v>50</v>
      </c>
    </row>
    <row r="71" spans="1:6" x14ac:dyDescent="0.25">
      <c r="A71" s="31" t="s">
        <v>51</v>
      </c>
    </row>
    <row r="72" spans="1:6" x14ac:dyDescent="0.25">
      <c r="A72" s="31" t="s">
        <v>52</v>
      </c>
    </row>
    <row r="73" spans="1:6" x14ac:dyDescent="0.25">
      <c r="A73" t="s">
        <v>53</v>
      </c>
    </row>
    <row r="74" spans="1:6" x14ac:dyDescent="0.25">
      <c r="A74" t="s">
        <v>54</v>
      </c>
    </row>
    <row r="76" spans="1:6" x14ac:dyDescent="0.25">
      <c r="A76" s="31" t="s">
        <v>55</v>
      </c>
    </row>
    <row r="77" spans="1:6" x14ac:dyDescent="0.25">
      <c r="A77" s="1"/>
      <c r="B77" s="2" t="s">
        <v>3</v>
      </c>
      <c r="C77" s="2" t="s">
        <v>4</v>
      </c>
    </row>
    <row r="78" spans="1:6" x14ac:dyDescent="0.25">
      <c r="A78" s="1" t="s">
        <v>5</v>
      </c>
      <c r="B78" s="3">
        <v>22816</v>
      </c>
      <c r="C78" s="3">
        <f>24800*1.5</f>
        <v>37200</v>
      </c>
    </row>
    <row r="79" spans="1:6" x14ac:dyDescent="0.25">
      <c r="A79" s="1" t="s">
        <v>6</v>
      </c>
      <c r="B79" s="4" t="s">
        <v>56</v>
      </c>
      <c r="C79" s="4" t="s">
        <v>56</v>
      </c>
    </row>
    <row r="80" spans="1:6" x14ac:dyDescent="0.25">
      <c r="A80" s="1" t="s">
        <v>11</v>
      </c>
      <c r="B80" s="5">
        <f>+C80</f>
        <v>478.72</v>
      </c>
      <c r="C80" s="5">
        <f>(D62+G62)/1000</f>
        <v>478.72</v>
      </c>
    </row>
    <row r="81" spans="1:16" x14ac:dyDescent="0.25">
      <c r="A81" s="1" t="s">
        <v>12</v>
      </c>
      <c r="B81" s="5">
        <f>B78/B80</f>
        <v>47.660427807486627</v>
      </c>
      <c r="C81" s="5">
        <f>C78/C80</f>
        <v>77.707219251336895</v>
      </c>
      <c r="K81" s="34"/>
      <c r="L81" s="35"/>
      <c r="M81" s="35"/>
      <c r="N81" s="35"/>
      <c r="O81" s="34"/>
      <c r="P81" s="34"/>
    </row>
    <row r="82" spans="1:16" x14ac:dyDescent="0.25">
      <c r="K82" s="34"/>
      <c r="L82" s="36"/>
      <c r="M82" s="36"/>
      <c r="N82" s="36"/>
      <c r="O82" s="34"/>
      <c r="P82" s="34"/>
    </row>
    <row r="83" spans="1:16" x14ac:dyDescent="0.25">
      <c r="K83" s="34"/>
      <c r="L83" s="35"/>
      <c r="M83" s="37"/>
      <c r="N83" s="37"/>
      <c r="O83" s="34"/>
      <c r="P83" s="34"/>
    </row>
    <row r="84" spans="1:16" x14ac:dyDescent="0.25">
      <c r="A84" s="19" t="s">
        <v>40</v>
      </c>
      <c r="B84" s="19"/>
      <c r="C84" s="19"/>
      <c r="D84" s="19"/>
      <c r="E84" s="38"/>
      <c r="F84" s="38"/>
      <c r="G84" s="38"/>
      <c r="K84" s="34"/>
      <c r="L84" s="39"/>
      <c r="M84" s="34"/>
      <c r="N84" s="34"/>
      <c r="O84" s="34"/>
      <c r="P84" s="34"/>
    </row>
    <row r="85" spans="1:16" x14ac:dyDescent="0.25">
      <c r="A85" s="1"/>
      <c r="B85" s="7" t="s">
        <v>28</v>
      </c>
      <c r="C85" s="7"/>
      <c r="D85" s="7"/>
      <c r="E85" s="40"/>
      <c r="F85" s="40"/>
      <c r="G85" s="40"/>
      <c r="K85" s="34"/>
      <c r="L85" s="39"/>
      <c r="M85" s="39"/>
      <c r="N85" s="39"/>
      <c r="O85" s="34"/>
      <c r="P85" s="34"/>
    </row>
    <row r="86" spans="1:16" x14ac:dyDescent="0.25">
      <c r="A86" s="1"/>
      <c r="B86" s="2" t="s">
        <v>16</v>
      </c>
      <c r="C86" s="2" t="s">
        <v>17</v>
      </c>
      <c r="D86" s="2" t="s">
        <v>18</v>
      </c>
      <c r="E86" s="35"/>
      <c r="F86" s="35"/>
      <c r="G86" s="35"/>
      <c r="K86" s="34"/>
      <c r="L86" s="34"/>
      <c r="M86" s="34"/>
      <c r="N86" s="34"/>
      <c r="O86" s="34"/>
      <c r="P86" s="34"/>
    </row>
    <row r="87" spans="1:16" x14ac:dyDescent="0.25">
      <c r="A87" s="1" t="s">
        <v>41</v>
      </c>
      <c r="B87" s="1">
        <v>21600</v>
      </c>
      <c r="C87" s="3">
        <f>C54</f>
        <v>13</v>
      </c>
      <c r="D87" s="3">
        <f>B87*C87</f>
        <v>280800</v>
      </c>
      <c r="E87" s="34"/>
      <c r="F87" s="36"/>
      <c r="G87" s="36"/>
      <c r="K87" s="34"/>
      <c r="L87" s="34"/>
      <c r="M87" s="34"/>
      <c r="N87" s="34"/>
      <c r="O87" s="34"/>
      <c r="P87" s="34"/>
    </row>
    <row r="88" spans="1:16" x14ac:dyDescent="0.25">
      <c r="A88" s="1" t="s">
        <v>42</v>
      </c>
      <c r="B88" s="5">
        <f>+B89</f>
        <v>328.32</v>
      </c>
      <c r="C88" s="30">
        <f>+B81</f>
        <v>47.660427807486627</v>
      </c>
      <c r="D88" s="3">
        <f t="shared" ref="D88:D89" si="8">B88*C88</f>
        <v>15647.871657754009</v>
      </c>
      <c r="E88" s="39"/>
      <c r="F88" s="41"/>
      <c r="G88" s="36"/>
      <c r="K88" s="34"/>
      <c r="L88" s="34"/>
      <c r="M88" s="34"/>
      <c r="N88" s="34"/>
      <c r="O88" s="34"/>
      <c r="P88" s="34"/>
    </row>
    <row r="89" spans="1:16" x14ac:dyDescent="0.25">
      <c r="A89" s="1" t="s">
        <v>43</v>
      </c>
      <c r="B89" s="5">
        <f>D62/1000</f>
        <v>328.32</v>
      </c>
      <c r="C89" s="3">
        <f>C81</f>
        <v>77.707219251336895</v>
      </c>
      <c r="D89" s="3">
        <f t="shared" si="8"/>
        <v>25512.83422459893</v>
      </c>
      <c r="E89" s="39"/>
      <c r="F89" s="36"/>
      <c r="G89" s="36"/>
      <c r="K89" s="34"/>
      <c r="L89" s="34"/>
      <c r="M89" s="34"/>
      <c r="N89" s="34"/>
      <c r="O89" s="34"/>
      <c r="P89" s="34"/>
    </row>
    <row r="90" spans="1:16" x14ac:dyDescent="0.25">
      <c r="A90" s="8" t="s">
        <v>44</v>
      </c>
      <c r="B90" s="8">
        <v>21600</v>
      </c>
      <c r="C90" s="14">
        <f>D90/B90</f>
        <v>14.905588235294118</v>
      </c>
      <c r="D90" s="14">
        <f>SUM(D87:D89)</f>
        <v>321960.70588235295</v>
      </c>
      <c r="E90" s="42"/>
      <c r="F90" s="43"/>
      <c r="G90" s="43"/>
    </row>
    <row r="92" spans="1:16" x14ac:dyDescent="0.25">
      <c r="A92" s="19" t="s">
        <v>45</v>
      </c>
      <c r="B92" s="19"/>
      <c r="C92" s="19"/>
      <c r="D92" s="19"/>
      <c r="E92" s="38"/>
      <c r="F92" s="38"/>
      <c r="G92" s="38"/>
    </row>
    <row r="93" spans="1:16" x14ac:dyDescent="0.25">
      <c r="A93" s="1"/>
      <c r="B93" s="7" t="s">
        <v>28</v>
      </c>
      <c r="C93" s="7"/>
      <c r="D93" s="7"/>
      <c r="E93" s="40"/>
      <c r="F93" s="40"/>
      <c r="G93" s="40"/>
    </row>
    <row r="94" spans="1:16" x14ac:dyDescent="0.25">
      <c r="A94" s="1"/>
      <c r="B94" s="2" t="s">
        <v>16</v>
      </c>
      <c r="C94" s="2" t="s">
        <v>17</v>
      </c>
      <c r="D94" s="2" t="s">
        <v>18</v>
      </c>
      <c r="E94" s="35"/>
      <c r="F94" s="35"/>
      <c r="G94" s="35"/>
    </row>
    <row r="95" spans="1:16" x14ac:dyDescent="0.25">
      <c r="A95" s="1" t="s">
        <v>57</v>
      </c>
      <c r="B95" s="1">
        <v>21600</v>
      </c>
      <c r="C95" s="3">
        <v>15.2</v>
      </c>
      <c r="D95" s="3">
        <f>B95*C95</f>
        <v>328320</v>
      </c>
      <c r="E95" s="34"/>
      <c r="F95" s="36"/>
      <c r="G95" s="36"/>
    </row>
    <row r="96" spans="1:16" x14ac:dyDescent="0.25">
      <c r="A96" s="1" t="s">
        <v>46</v>
      </c>
      <c r="B96" s="1">
        <f>B95</f>
        <v>21600</v>
      </c>
      <c r="C96" s="30">
        <f>C90</f>
        <v>14.905588235294118</v>
      </c>
      <c r="D96" s="3">
        <f t="shared" ref="D96" si="9">B96*C96</f>
        <v>321960.70588235295</v>
      </c>
      <c r="E96" s="34"/>
      <c r="F96" s="41"/>
      <c r="G96" s="36"/>
    </row>
    <row r="97" spans="1:8" x14ac:dyDescent="0.25">
      <c r="A97" s="8" t="s">
        <v>47</v>
      </c>
      <c r="B97" s="8">
        <f>B96</f>
        <v>21600</v>
      </c>
      <c r="C97" s="14">
        <f>D97/B97</f>
        <v>0.29441176470588187</v>
      </c>
      <c r="D97" s="14">
        <f>D95-D96</f>
        <v>6359.2941176470486</v>
      </c>
      <c r="E97" s="42"/>
      <c r="F97" s="43"/>
      <c r="G97" s="43"/>
      <c r="H97" s="25"/>
    </row>
    <row r="99" spans="1:8" x14ac:dyDescent="0.25">
      <c r="A99" s="31" t="s">
        <v>58</v>
      </c>
    </row>
    <row r="101" spans="1:8" x14ac:dyDescent="0.25">
      <c r="A101" t="s">
        <v>59</v>
      </c>
    </row>
    <row r="102" spans="1:8" x14ac:dyDescent="0.25">
      <c r="A102" t="s">
        <v>60</v>
      </c>
    </row>
  </sheetData>
  <mergeCells count="24">
    <mergeCell ref="A84:G84"/>
    <mergeCell ref="B85:D85"/>
    <mergeCell ref="E85:G85"/>
    <mergeCell ref="A92:G92"/>
    <mergeCell ref="B93:D93"/>
    <mergeCell ref="E93:G93"/>
    <mergeCell ref="A51:G51"/>
    <mergeCell ref="B52:D52"/>
    <mergeCell ref="E52:G52"/>
    <mergeCell ref="A59:G59"/>
    <mergeCell ref="B60:D60"/>
    <mergeCell ref="E60:G60"/>
    <mergeCell ref="A29:G29"/>
    <mergeCell ref="B30:D30"/>
    <mergeCell ref="E30:G30"/>
    <mergeCell ref="A41:G41"/>
    <mergeCell ref="B42:D42"/>
    <mergeCell ref="E42:G42"/>
    <mergeCell ref="A10:G10"/>
    <mergeCell ref="B11:D11"/>
    <mergeCell ref="E11:G11"/>
    <mergeCell ref="A18:G18"/>
    <mergeCell ref="B19:D19"/>
    <mergeCell ref="E19:G1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3CE12-1006-48AD-BE9E-BACBEC4FC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61474-17E7-4199-8EB2-C1FE62604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1B2C8-EDB5-4BB9-B2CD-F2D28BFCFD8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2022-08-17T12:17:06Z</dcterms:created>
  <dcterms:modified xsi:type="dcterms:W3CDTF">2022-08-17T12:45:12Z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