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IUT BRETIGNY GEA/BUT/Cours BUT2/GEMA/R3 GEMA12 - Financement des activités/R3 GEMA 12 Chapitre 2/"/>
    </mc:Choice>
  </mc:AlternateContent>
  <xr:revisionPtr revIDLastSave="0" documentId="8_{A587FFA6-AE58-4BA7-9CF4-692091FA9440}" xr6:coauthVersionLast="36" xr6:coauthVersionMax="36" xr10:uidLastSave="{00000000-0000-0000-0000-000000000000}"/>
  <bookViews>
    <workbookView xWindow="0" yWindow="0" windowWidth="28800" windowHeight="11925" xr2:uid="{FD514B29-06A1-41D3-BCEC-0079105BF22C}"/>
  </bookViews>
  <sheets>
    <sheet name="Exemple du cou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G31" i="1"/>
  <c r="F31" i="1"/>
  <c r="E31" i="1"/>
  <c r="D31" i="1"/>
  <c r="C31" i="1"/>
  <c r="B27" i="1"/>
  <c r="B32" i="1" s="1"/>
  <c r="G25" i="1"/>
  <c r="F15" i="1"/>
  <c r="F16" i="1" s="1"/>
  <c r="B15" i="1"/>
  <c r="F14" i="1"/>
  <c r="E14" i="1"/>
  <c r="D14" i="1"/>
  <c r="C14" i="1"/>
  <c r="B14" i="1"/>
  <c r="F13" i="1"/>
  <c r="E13" i="1"/>
  <c r="D13" i="1"/>
  <c r="D15" i="1" s="1"/>
  <c r="C13" i="1"/>
  <c r="B13" i="1"/>
  <c r="F12" i="1"/>
  <c r="E12" i="1"/>
  <c r="E15" i="1" s="1"/>
  <c r="D12" i="1"/>
  <c r="C12" i="1"/>
  <c r="C15" i="1" s="1"/>
  <c r="B12" i="1"/>
  <c r="G26" i="1" s="1"/>
  <c r="B30" i="1" s="1"/>
  <c r="B31" i="1" s="1"/>
  <c r="D16" i="1" l="1"/>
  <c r="D17" i="1" s="1"/>
  <c r="D18" i="1" s="1"/>
  <c r="E24" i="1" s="1"/>
  <c r="E27" i="1" s="1"/>
  <c r="E32" i="1" s="1"/>
  <c r="E52" i="1" s="1"/>
  <c r="B52" i="1"/>
  <c r="E16" i="1"/>
  <c r="E17" i="1"/>
  <c r="E18" i="1" s="1"/>
  <c r="F24" i="1" s="1"/>
  <c r="F27" i="1" s="1"/>
  <c r="F32" i="1" s="1"/>
  <c r="F52" i="1" s="1"/>
  <c r="C16" i="1"/>
  <c r="C17" i="1"/>
  <c r="C18" i="1" s="1"/>
  <c r="D24" i="1" s="1"/>
  <c r="D27" i="1" s="1"/>
  <c r="D32" i="1" s="1"/>
  <c r="B16" i="1"/>
  <c r="B17" i="1" s="1"/>
  <c r="B18" i="1" s="1"/>
  <c r="C24" i="1" s="1"/>
  <c r="C27" i="1" s="1"/>
  <c r="C32" i="1" s="1"/>
  <c r="F17" i="1"/>
  <c r="F18" i="1" s="1"/>
  <c r="G24" i="1" s="1"/>
  <c r="G27" i="1" s="1"/>
  <c r="G32" i="1" s="1"/>
  <c r="G52" i="1" s="1"/>
  <c r="C52" i="1" l="1"/>
  <c r="B56" i="1"/>
  <c r="B35" i="1"/>
  <c r="A54" i="1"/>
  <c r="B39" i="1"/>
  <c r="B40" i="1" s="1"/>
  <c r="B41" i="1" s="1"/>
  <c r="B42" i="1" s="1"/>
  <c r="D52" i="1"/>
  <c r="B53" i="1" s="1"/>
  <c r="A68" i="1" l="1"/>
  <c r="B60" i="1"/>
  <c r="B61" i="1" s="1"/>
  <c r="B62" i="1" s="1"/>
  <c r="B63" i="1" s="1"/>
  <c r="B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8" authorId="0" shapeId="0" xr:uid="{9B5958C3-A7CB-4F8F-89C2-04D5AB55BC56}">
      <text>
        <r>
          <rPr>
            <b/>
            <sz val="9"/>
            <color indexed="81"/>
            <rFont val="Tahoma"/>
            <family val="2"/>
          </rPr>
          <t>15000+amts (50000)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0" shapeId="0" xr:uid="{80DDE880-24A2-4F11-A0C3-952F7CDE65D2}">
      <text>
        <r>
          <rPr>
            <b/>
            <sz val="9"/>
            <color indexed="81"/>
            <rFont val="Tahoma"/>
            <family val="2"/>
          </rPr>
          <t>Excel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6" authorId="0" shapeId="0" xr:uid="{55940679-D921-4E43-8ADC-971867D26A10}">
      <text>
        <r>
          <rPr>
            <b/>
            <sz val="9"/>
            <color indexed="81"/>
            <rFont val="Tahoma"/>
            <family val="2"/>
          </rPr>
          <t>Excel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<sst xmlns="http://schemas.openxmlformats.org/spreadsheetml/2006/main" count="76" uniqueCount="47">
  <si>
    <t xml:space="preserve">Prix de vente </t>
  </si>
  <si>
    <t>Coût d'acqusition</t>
  </si>
  <si>
    <t>7 ans</t>
  </si>
  <si>
    <t xml:space="preserve">Revente </t>
  </si>
  <si>
    <t>Charges</t>
  </si>
  <si>
    <t>BFR</t>
  </si>
  <si>
    <t>45 jours de ventes</t>
  </si>
  <si>
    <t>N</t>
  </si>
  <si>
    <t>N+1</t>
  </si>
  <si>
    <t>N+2</t>
  </si>
  <si>
    <t>N+3</t>
  </si>
  <si>
    <t>N+4</t>
  </si>
  <si>
    <t>Quantité</t>
  </si>
  <si>
    <t>Etape 1 : La détermination de la CAF du projet</t>
  </si>
  <si>
    <t>CA</t>
  </si>
  <si>
    <t>Dotations aux amortissements</t>
  </si>
  <si>
    <t>Résultat avant IS</t>
  </si>
  <si>
    <t>IS - 25%</t>
  </si>
  <si>
    <t>Résultat après IS</t>
  </si>
  <si>
    <t>C.A.F.</t>
  </si>
  <si>
    <t>Etape 2 : La détermination des flux nets de trésorerie</t>
  </si>
  <si>
    <t>Début N</t>
  </si>
  <si>
    <t>ENCAISSEMENTS</t>
  </si>
  <si>
    <t>CAF</t>
  </si>
  <si>
    <t>Cession de l'équipement</t>
  </si>
  <si>
    <t>Récupération du BFR</t>
  </si>
  <si>
    <t>TOTAL</t>
  </si>
  <si>
    <t>DECAISSEMENTS</t>
  </si>
  <si>
    <t>Investissement initial</t>
  </si>
  <si>
    <t>FLUX NETS DE TRESORERIE</t>
  </si>
  <si>
    <t>Rentailité du projet sans actualisation</t>
  </si>
  <si>
    <t>DRCI sans actuailisation</t>
  </si>
  <si>
    <t>jours</t>
  </si>
  <si>
    <t>12 Avril N+4</t>
  </si>
  <si>
    <t>Taux de rendement comptable</t>
  </si>
  <si>
    <t>En tenant compte de l'actualisation</t>
  </si>
  <si>
    <t>Taux d'actualisation</t>
  </si>
  <si>
    <t>Années</t>
  </si>
  <si>
    <t>FLUX NETS ACTUALISES</t>
  </si>
  <si>
    <t>VAN</t>
  </si>
  <si>
    <t>TRI</t>
  </si>
  <si>
    <t>DRCI avec actuailisation</t>
  </si>
  <si>
    <t>Indice de profitabilité</t>
  </si>
  <si>
    <t>DRCI au cours de l'année 4</t>
  </si>
  <si>
    <t>Rentabilité Brute</t>
  </si>
  <si>
    <t>=((65000+65000+91250+91250+96500)/5) / 350000</t>
  </si>
  <si>
    <t>A un taux d'actualisation de 15%, le DRCI n'est jamais atteint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</si>
</sst>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6" fontId="0" fillId="0" borderId="0" xfId="0" applyNumberFormat="1"/>
    <xf numFmtId="164" fontId="0" fillId="0" borderId="0" xfId="1" applyNumberFormat="1" applyFont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center"/>
    </xf>
    <xf numFmtId="0" fontId="0" fillId="0" borderId="1" xfId="0" applyFill="1" applyBorder="1"/>
    <xf numFmtId="164" fontId="4" fillId="0" borderId="1" xfId="1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6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164" fontId="3" fillId="0" borderId="1" xfId="1" applyNumberFormat="1" applyFont="1" applyBorder="1"/>
    <xf numFmtId="164" fontId="4" fillId="0" borderId="1" xfId="1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5" fillId="0" borderId="1" xfId="0" applyNumberFormat="1" applyFont="1" applyBorder="1"/>
    <xf numFmtId="0" fontId="0" fillId="0" borderId="0" xfId="0" applyFill="1" applyBorder="1"/>
    <xf numFmtId="164" fontId="0" fillId="0" borderId="0" xfId="0" applyNumberForma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0" xfId="0" applyNumberFormat="1" applyFont="1" applyBorder="1"/>
    <xf numFmtId="2" fontId="3" fillId="0" borderId="0" xfId="0" applyNumberFormat="1" applyFont="1" applyBorder="1"/>
    <xf numFmtId="164" fontId="3" fillId="0" borderId="0" xfId="0" quotePrefix="1" applyNumberFormat="1" applyFont="1" applyBorder="1"/>
    <xf numFmtId="10" fontId="0" fillId="0" borderId="0" xfId="2" applyNumberFormat="1" applyFont="1" applyBorder="1"/>
    <xf numFmtId="9" fontId="0" fillId="0" borderId="0" xfId="0" applyNumberFormat="1"/>
    <xf numFmtId="9" fontId="0" fillId="0" borderId="1" xfId="0" applyNumberForma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0" fontId="0" fillId="0" borderId="0" xfId="0" applyBorder="1"/>
    <xf numFmtId="164" fontId="0" fillId="0" borderId="0" xfId="0" applyNumberFormat="1"/>
    <xf numFmtId="10" fontId="0" fillId="0" borderId="0" xfId="0" applyNumberFormat="1"/>
    <xf numFmtId="164" fontId="0" fillId="0" borderId="1" xfId="0" applyNumberFormat="1" applyBorder="1"/>
    <xf numFmtId="2" fontId="0" fillId="0" borderId="0" xfId="0" applyNumberFormat="1" applyBorder="1"/>
    <xf numFmtId="164" fontId="0" fillId="0" borderId="0" xfId="0" quotePrefix="1" applyNumberFormat="1" applyBorder="1"/>
    <xf numFmtId="0" fontId="2" fillId="0" borderId="0" xfId="0" applyFont="1" applyBorder="1" applyAlignment="1">
      <alignment horizontal="center"/>
    </xf>
    <xf numFmtId="2" fontId="0" fillId="0" borderId="0" xfId="2" applyNumberFormat="1" applyFont="1"/>
    <xf numFmtId="164" fontId="4" fillId="0" borderId="0" xfId="0" applyNumberFormat="1" applyFont="1" applyBorder="1"/>
    <xf numFmtId="0" fontId="0" fillId="0" borderId="0" xfId="0" applyFill="1"/>
    <xf numFmtId="164" fontId="4" fillId="0" borderId="2" xfId="1" applyNumberFormat="1" applyFont="1" applyFill="1" applyBorder="1"/>
    <xf numFmtId="10" fontId="0" fillId="0" borderId="0" xfId="2" quotePrefix="1" applyNumberFormat="1" applyFon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1AF8-4700-464E-9055-8D7DF6F169E9}">
  <dimension ref="A2:J69"/>
  <sheetViews>
    <sheetView showGridLines="0" tabSelected="1" topLeftCell="A39" workbookViewId="0">
      <selection activeCell="M54" sqref="M54"/>
    </sheetView>
  </sheetViews>
  <sheetFormatPr baseColWidth="10" defaultRowHeight="15" x14ac:dyDescent="0.25"/>
  <cols>
    <col min="1" max="1" width="34.5703125" bestFit="1" customWidth="1"/>
    <col min="2" max="2" width="15.28515625" bestFit="1" customWidth="1"/>
    <col min="3" max="6" width="12.85546875" bestFit="1" customWidth="1"/>
    <col min="7" max="7" width="13.85546875" bestFit="1" customWidth="1"/>
  </cols>
  <sheetData>
    <row r="2" spans="1:8" x14ac:dyDescent="0.25">
      <c r="A2" t="s">
        <v>0</v>
      </c>
      <c r="B2" s="1">
        <v>20</v>
      </c>
    </row>
    <row r="3" spans="1:8" x14ac:dyDescent="0.25">
      <c r="A3" t="s">
        <v>1</v>
      </c>
      <c r="B3" s="2">
        <v>350000</v>
      </c>
      <c r="C3" t="s">
        <v>2</v>
      </c>
    </row>
    <row r="4" spans="1:8" x14ac:dyDescent="0.25">
      <c r="A4" t="s">
        <v>3</v>
      </c>
      <c r="B4" s="1">
        <v>100000</v>
      </c>
    </row>
    <row r="5" spans="1:8" x14ac:dyDescent="0.25">
      <c r="A5" t="s">
        <v>4</v>
      </c>
      <c r="B5" s="1">
        <v>13</v>
      </c>
    </row>
    <row r="7" spans="1:8" x14ac:dyDescent="0.25">
      <c r="A7" s="3"/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</row>
    <row r="8" spans="1:8" x14ac:dyDescent="0.25">
      <c r="A8" s="3" t="s">
        <v>12</v>
      </c>
      <c r="B8" s="3">
        <v>10000</v>
      </c>
      <c r="C8" s="3">
        <v>10000</v>
      </c>
      <c r="D8" s="3">
        <v>15000</v>
      </c>
      <c r="E8" s="3">
        <v>15000</v>
      </c>
      <c r="F8" s="3">
        <v>16000</v>
      </c>
    </row>
    <row r="10" spans="1:8" x14ac:dyDescent="0.25">
      <c r="A10" s="4" t="s">
        <v>13</v>
      </c>
    </row>
    <row r="11" spans="1:8" x14ac:dyDescent="0.25">
      <c r="A11" s="3"/>
      <c r="B11" s="3" t="s">
        <v>7</v>
      </c>
      <c r="C11" s="3" t="s">
        <v>8</v>
      </c>
      <c r="D11" s="3" t="s">
        <v>9</v>
      </c>
      <c r="E11" s="3" t="s">
        <v>10</v>
      </c>
      <c r="F11" s="3" t="s">
        <v>11</v>
      </c>
    </row>
    <row r="12" spans="1:8" x14ac:dyDescent="0.25">
      <c r="A12" s="5" t="s">
        <v>14</v>
      </c>
      <c r="B12" s="6">
        <f>B8*$B$2</f>
        <v>200000</v>
      </c>
      <c r="C12" s="6">
        <f>C8*$B$2</f>
        <v>200000</v>
      </c>
      <c r="D12" s="6">
        <f>D8*$B$2</f>
        <v>300000</v>
      </c>
      <c r="E12" s="6">
        <f>E8*$B$2</f>
        <v>300000</v>
      </c>
      <c r="F12" s="6">
        <f>F8*$B$2</f>
        <v>320000</v>
      </c>
      <c r="H12" s="41"/>
    </row>
    <row r="13" spans="1:8" x14ac:dyDescent="0.25">
      <c r="A13" s="7" t="s">
        <v>4</v>
      </c>
      <c r="B13" s="8">
        <f>$B$5*B8</f>
        <v>130000</v>
      </c>
      <c r="C13" s="8">
        <f>$B$5*C8</f>
        <v>130000</v>
      </c>
      <c r="D13" s="8">
        <f>$B$5*D8</f>
        <v>195000</v>
      </c>
      <c r="E13" s="8">
        <f>$B$5*E8</f>
        <v>195000</v>
      </c>
      <c r="F13" s="8">
        <f>$B$5*F8</f>
        <v>208000</v>
      </c>
      <c r="H13" s="41"/>
    </row>
    <row r="14" spans="1:8" x14ac:dyDescent="0.25">
      <c r="A14" s="7" t="s">
        <v>15</v>
      </c>
      <c r="B14" s="8">
        <f>$B$3/7</f>
        <v>50000</v>
      </c>
      <c r="C14" s="8">
        <f>$B$3/7</f>
        <v>50000</v>
      </c>
      <c r="D14" s="8">
        <f>$B$3/7</f>
        <v>50000</v>
      </c>
      <c r="E14" s="8">
        <f>$B$3/7</f>
        <v>50000</v>
      </c>
      <c r="F14" s="8">
        <f>$B$3/7</f>
        <v>50000</v>
      </c>
      <c r="H14" s="41"/>
    </row>
    <row r="15" spans="1:8" x14ac:dyDescent="0.25">
      <c r="A15" s="7" t="s">
        <v>16</v>
      </c>
      <c r="B15" s="8">
        <f>B12-B13-B14</f>
        <v>20000</v>
      </c>
      <c r="C15" s="8">
        <f>C12-C13-C14</f>
        <v>20000</v>
      </c>
      <c r="D15" s="8">
        <f>D12-D13-D14</f>
        <v>55000</v>
      </c>
      <c r="E15" s="8">
        <f>E12-E13-E14</f>
        <v>55000</v>
      </c>
      <c r="F15" s="8">
        <f>F12-F13-F14</f>
        <v>62000</v>
      </c>
      <c r="H15" s="42"/>
    </row>
    <row r="16" spans="1:8" x14ac:dyDescent="0.25">
      <c r="A16" s="7" t="s">
        <v>17</v>
      </c>
      <c r="B16" s="8">
        <f>B15*0.25</f>
        <v>5000</v>
      </c>
      <c r="C16" s="8">
        <f>C15*0.25</f>
        <v>5000</v>
      </c>
      <c r="D16" s="8">
        <f>D15*0.25</f>
        <v>13750</v>
      </c>
      <c r="E16" s="8">
        <f>E15*0.25</f>
        <v>13750</v>
      </c>
      <c r="F16" s="8">
        <f>F15*0.25</f>
        <v>15500</v>
      </c>
    </row>
    <row r="17" spans="1:10" x14ac:dyDescent="0.25">
      <c r="A17" s="7" t="s">
        <v>18</v>
      </c>
      <c r="B17" s="8">
        <f>B15-B16</f>
        <v>15000</v>
      </c>
      <c r="C17" s="8">
        <f>C15-C16</f>
        <v>15000</v>
      </c>
      <c r="D17" s="8">
        <f>D15-D16</f>
        <v>41250</v>
      </c>
      <c r="E17" s="8">
        <f>E15-E16</f>
        <v>41250</v>
      </c>
      <c r="F17" s="8">
        <f>F15-F16</f>
        <v>46500</v>
      </c>
    </row>
    <row r="18" spans="1:10" x14ac:dyDescent="0.25">
      <c r="A18" s="7" t="s">
        <v>19</v>
      </c>
      <c r="B18" s="8">
        <f>B17+B14</f>
        <v>65000</v>
      </c>
      <c r="C18" s="8">
        <f>C17+C14</f>
        <v>65000</v>
      </c>
      <c r="D18" s="8">
        <f>D17+D14</f>
        <v>91250</v>
      </c>
      <c r="E18" s="8">
        <f>E17+E14</f>
        <v>91250</v>
      </c>
      <c r="F18" s="8">
        <f>F17+F14</f>
        <v>96500</v>
      </c>
    </row>
    <row r="21" spans="1:10" x14ac:dyDescent="0.25">
      <c r="A21" s="4" t="s">
        <v>20</v>
      </c>
      <c r="I21" t="s">
        <v>5</v>
      </c>
      <c r="J21" t="s">
        <v>6</v>
      </c>
    </row>
    <row r="22" spans="1:10" x14ac:dyDescent="0.25">
      <c r="A22" s="3"/>
      <c r="B22" s="3" t="s">
        <v>21</v>
      </c>
      <c r="C22" s="3" t="s">
        <v>7</v>
      </c>
      <c r="D22" s="3" t="s">
        <v>8</v>
      </c>
      <c r="E22" s="3" t="s">
        <v>9</v>
      </c>
      <c r="F22" s="3" t="s">
        <v>10</v>
      </c>
      <c r="G22" s="3" t="s">
        <v>11</v>
      </c>
    </row>
    <row r="23" spans="1:10" x14ac:dyDescent="0.25">
      <c r="A23" s="9" t="s">
        <v>22</v>
      </c>
      <c r="B23" s="10"/>
      <c r="C23" s="11"/>
      <c r="D23" s="11"/>
      <c r="E23" s="11"/>
      <c r="F23" s="11"/>
      <c r="G23" s="11"/>
    </row>
    <row r="24" spans="1:10" x14ac:dyDescent="0.25">
      <c r="A24" s="10" t="s">
        <v>23</v>
      </c>
      <c r="B24" s="12"/>
      <c r="C24" s="13">
        <f>B18</f>
        <v>65000</v>
      </c>
      <c r="D24" s="13">
        <f>C18</f>
        <v>65000</v>
      </c>
      <c r="E24" s="13">
        <f>D18</f>
        <v>91250</v>
      </c>
      <c r="F24" s="13">
        <f>E18</f>
        <v>91250</v>
      </c>
      <c r="G24" s="13">
        <f>F18</f>
        <v>96500</v>
      </c>
    </row>
    <row r="25" spans="1:10" x14ac:dyDescent="0.25">
      <c r="A25" s="10" t="s">
        <v>24</v>
      </c>
      <c r="B25" s="12"/>
      <c r="C25" s="14"/>
      <c r="D25" s="14"/>
      <c r="E25" s="14"/>
      <c r="F25" s="14"/>
      <c r="G25" s="13">
        <f>350000/7*2</f>
        <v>100000</v>
      </c>
    </row>
    <row r="26" spans="1:10" x14ac:dyDescent="0.25">
      <c r="A26" s="10" t="s">
        <v>25</v>
      </c>
      <c r="B26" s="12"/>
      <c r="C26" s="15"/>
      <c r="D26" s="15"/>
      <c r="E26" s="15"/>
      <c r="F26" s="15"/>
      <c r="G26" s="16">
        <f>B12/360*45</f>
        <v>25000</v>
      </c>
    </row>
    <row r="27" spans="1:10" x14ac:dyDescent="0.25">
      <c r="A27" s="7" t="s">
        <v>26</v>
      </c>
      <c r="B27" s="12">
        <f t="shared" ref="B27:G27" si="0">SUM(B24:B26)</f>
        <v>0</v>
      </c>
      <c r="C27" s="12">
        <f t="shared" si="0"/>
        <v>65000</v>
      </c>
      <c r="D27" s="12">
        <f t="shared" si="0"/>
        <v>65000</v>
      </c>
      <c r="E27" s="12">
        <f t="shared" si="0"/>
        <v>91250</v>
      </c>
      <c r="F27" s="12">
        <f t="shared" si="0"/>
        <v>91250</v>
      </c>
      <c r="G27" s="12">
        <f t="shared" si="0"/>
        <v>221500</v>
      </c>
    </row>
    <row r="28" spans="1:10" x14ac:dyDescent="0.25">
      <c r="A28" s="17" t="s">
        <v>27</v>
      </c>
      <c r="B28" s="12"/>
      <c r="C28" s="14"/>
      <c r="D28" s="14"/>
      <c r="E28" s="14"/>
      <c r="F28" s="14"/>
      <c r="G28" s="14"/>
    </row>
    <row r="29" spans="1:10" x14ac:dyDescent="0.25">
      <c r="A29" s="7" t="s">
        <v>28</v>
      </c>
      <c r="B29" s="16">
        <v>350000</v>
      </c>
      <c r="C29" s="14"/>
      <c r="D29" s="14"/>
      <c r="E29" s="14"/>
      <c r="F29" s="14"/>
      <c r="G29" s="14"/>
    </row>
    <row r="30" spans="1:10" x14ac:dyDescent="0.25">
      <c r="A30" s="7" t="s">
        <v>5</v>
      </c>
      <c r="B30" s="13">
        <f>G26</f>
        <v>25000</v>
      </c>
      <c r="C30" s="14"/>
      <c r="D30" s="14"/>
      <c r="E30" s="14"/>
      <c r="F30" s="14"/>
      <c r="G30" s="14"/>
    </row>
    <row r="31" spans="1:10" x14ac:dyDescent="0.25">
      <c r="A31" s="7" t="s">
        <v>26</v>
      </c>
      <c r="B31" s="14">
        <f t="shared" ref="B31:G31" si="1">SUM(B29:B30)</f>
        <v>375000</v>
      </c>
      <c r="C31" s="14">
        <f t="shared" si="1"/>
        <v>0</v>
      </c>
      <c r="D31" s="14">
        <f t="shared" si="1"/>
        <v>0</v>
      </c>
      <c r="E31" s="14">
        <f t="shared" si="1"/>
        <v>0</v>
      </c>
      <c r="F31" s="14">
        <f t="shared" si="1"/>
        <v>0</v>
      </c>
      <c r="G31" s="14">
        <f t="shared" si="1"/>
        <v>0</v>
      </c>
    </row>
    <row r="32" spans="1:10" x14ac:dyDescent="0.25">
      <c r="A32" s="18" t="s">
        <v>29</v>
      </c>
      <c r="B32" s="19">
        <f t="shared" ref="B32:G32" si="2">B27-B31</f>
        <v>-375000</v>
      </c>
      <c r="C32" s="19">
        <f t="shared" si="2"/>
        <v>65000</v>
      </c>
      <c r="D32" s="19">
        <f t="shared" si="2"/>
        <v>65000</v>
      </c>
      <c r="E32" s="19">
        <f t="shared" si="2"/>
        <v>91250</v>
      </c>
      <c r="F32" s="19">
        <f t="shared" si="2"/>
        <v>91250</v>
      </c>
      <c r="G32" s="19">
        <f t="shared" si="2"/>
        <v>221500</v>
      </c>
    </row>
    <row r="33" spans="1:7" x14ac:dyDescent="0.25">
      <c r="A33" s="20"/>
      <c r="B33" s="21"/>
      <c r="C33" s="21"/>
      <c r="D33" s="21"/>
      <c r="E33" s="21"/>
      <c r="F33" s="21"/>
      <c r="G33" s="21"/>
    </row>
    <row r="34" spans="1:7" x14ac:dyDescent="0.25">
      <c r="A34" s="22" t="s">
        <v>30</v>
      </c>
      <c r="B34" s="22"/>
      <c r="C34" s="21"/>
      <c r="D34" s="21"/>
      <c r="E34" s="21"/>
      <c r="F34" s="21"/>
      <c r="G34" s="21"/>
    </row>
    <row r="35" spans="1:7" x14ac:dyDescent="0.25">
      <c r="A35" s="20" t="s">
        <v>44</v>
      </c>
      <c r="B35" s="21">
        <f>SUM(B32:G32)</f>
        <v>159000</v>
      </c>
      <c r="C35" s="21"/>
      <c r="D35" s="21"/>
      <c r="E35" s="21"/>
      <c r="F35" s="21"/>
      <c r="G35" s="21"/>
    </row>
    <row r="36" spans="1:7" x14ac:dyDescent="0.25">
      <c r="A36" s="20"/>
      <c r="B36" s="21"/>
      <c r="C36" s="21"/>
      <c r="D36" s="21"/>
      <c r="E36" s="21"/>
      <c r="F36" s="21"/>
      <c r="G36" s="21"/>
    </row>
    <row r="37" spans="1:7" x14ac:dyDescent="0.25">
      <c r="A37" s="23" t="s">
        <v>31</v>
      </c>
      <c r="B37" s="23"/>
      <c r="C37" s="21"/>
      <c r="D37" s="21"/>
      <c r="E37" s="21"/>
      <c r="F37" s="21"/>
      <c r="G37" s="21"/>
    </row>
    <row r="38" spans="1:7" x14ac:dyDescent="0.25">
      <c r="A38" s="7" t="s">
        <v>7</v>
      </c>
      <c r="B38" s="13">
        <v>65000</v>
      </c>
      <c r="C38" s="21"/>
      <c r="D38" s="21"/>
      <c r="E38" s="21"/>
      <c r="F38" s="21"/>
      <c r="G38" s="21"/>
    </row>
    <row r="39" spans="1:7" x14ac:dyDescent="0.25">
      <c r="A39" s="7" t="s">
        <v>8</v>
      </c>
      <c r="B39" s="13">
        <f>+D32+B38</f>
        <v>130000</v>
      </c>
      <c r="C39" s="21"/>
      <c r="D39" s="21"/>
      <c r="E39" s="21"/>
      <c r="F39" s="21"/>
      <c r="G39" s="21"/>
    </row>
    <row r="40" spans="1:7" x14ac:dyDescent="0.25">
      <c r="A40" s="7" t="s">
        <v>9</v>
      </c>
      <c r="B40" s="13">
        <f>+B39+E32</f>
        <v>221250</v>
      </c>
      <c r="C40" s="21"/>
      <c r="D40" s="21"/>
      <c r="E40" s="21"/>
      <c r="F40" s="21"/>
      <c r="G40" s="21"/>
    </row>
    <row r="41" spans="1:7" x14ac:dyDescent="0.25">
      <c r="A41" s="7" t="s">
        <v>10</v>
      </c>
      <c r="B41" s="13">
        <f>+B40+F32</f>
        <v>312500</v>
      </c>
      <c r="D41" s="21"/>
    </row>
    <row r="42" spans="1:7" x14ac:dyDescent="0.25">
      <c r="A42" s="7" t="s">
        <v>11</v>
      </c>
      <c r="B42" s="13">
        <f>B41+G32</f>
        <v>534000</v>
      </c>
      <c r="C42" s="40" t="s">
        <v>43</v>
      </c>
      <c r="D42" s="24"/>
      <c r="E42" s="25">
        <f>(375000-312500)/221500*360</f>
        <v>101.5801354401806</v>
      </c>
      <c r="F42" s="24" t="s">
        <v>32</v>
      </c>
      <c r="G42" s="26" t="s">
        <v>33</v>
      </c>
    </row>
    <row r="43" spans="1:7" x14ac:dyDescent="0.25">
      <c r="C43" s="21"/>
      <c r="D43" s="21"/>
      <c r="E43" s="21"/>
      <c r="F43" s="21"/>
      <c r="G43" s="21"/>
    </row>
    <row r="44" spans="1:7" x14ac:dyDescent="0.25">
      <c r="A44" s="22" t="s">
        <v>34</v>
      </c>
      <c r="B44" s="22"/>
      <c r="C44" s="21"/>
      <c r="D44" s="21"/>
      <c r="E44" s="21"/>
      <c r="F44" s="21"/>
      <c r="G44" s="21"/>
    </row>
    <row r="45" spans="1:7" x14ac:dyDescent="0.25">
      <c r="A45" s="27">
        <v>0.23369999999999999</v>
      </c>
      <c r="B45" s="21"/>
      <c r="C45" s="43" t="s">
        <v>45</v>
      </c>
      <c r="D45" s="21"/>
      <c r="E45" s="21"/>
      <c r="F45" s="21"/>
      <c r="G45" s="21"/>
    </row>
    <row r="46" spans="1:7" x14ac:dyDescent="0.25">
      <c r="A46" s="20"/>
      <c r="B46" s="21"/>
      <c r="C46" s="21"/>
      <c r="D46" s="21"/>
      <c r="E46" s="21"/>
      <c r="F46" s="21"/>
      <c r="G46" s="21"/>
    </row>
    <row r="47" spans="1:7" x14ac:dyDescent="0.25">
      <c r="A47" s="20"/>
      <c r="B47" s="21"/>
      <c r="C47" s="21"/>
      <c r="D47" s="21"/>
      <c r="E47" s="21"/>
      <c r="F47" s="21"/>
      <c r="G47" s="21"/>
    </row>
    <row r="48" spans="1:7" x14ac:dyDescent="0.25">
      <c r="A48" s="22" t="s">
        <v>35</v>
      </c>
      <c r="B48" s="22"/>
      <c r="C48" s="21"/>
      <c r="D48" s="21"/>
      <c r="E48" s="21"/>
      <c r="F48" s="21"/>
      <c r="G48" s="21"/>
    </row>
    <row r="49" spans="1:7" x14ac:dyDescent="0.25">
      <c r="A49" s="20" t="s">
        <v>36</v>
      </c>
      <c r="B49" s="28">
        <v>0.15</v>
      </c>
    </row>
    <row r="50" spans="1:7" x14ac:dyDescent="0.25">
      <c r="A50" s="20"/>
      <c r="B50" s="28"/>
    </row>
    <row r="51" spans="1:7" x14ac:dyDescent="0.25">
      <c r="A51" s="7" t="s">
        <v>37</v>
      </c>
      <c r="B51" s="29" t="s">
        <v>21</v>
      </c>
      <c r="C51" s="3" t="s">
        <v>7</v>
      </c>
      <c r="D51" s="3" t="s">
        <v>8</v>
      </c>
      <c r="E51" s="3" t="s">
        <v>9</v>
      </c>
      <c r="F51" s="3" t="s">
        <v>10</v>
      </c>
      <c r="G51" s="3" t="s">
        <v>11</v>
      </c>
    </row>
    <row r="52" spans="1:7" x14ac:dyDescent="0.25">
      <c r="A52" s="30" t="s">
        <v>38</v>
      </c>
      <c r="B52" s="31">
        <f>B32</f>
        <v>-375000</v>
      </c>
      <c r="C52" s="31">
        <f>C32*(1+$B$49)^-1</f>
        <v>56521.739130434791</v>
      </c>
      <c r="D52" s="31">
        <f>D32*(1+$B$49)^-2</f>
        <v>49149.338374291125</v>
      </c>
      <c r="E52" s="31">
        <f>E32*(1+$B$49)^-3</f>
        <v>59998.356209418933</v>
      </c>
      <c r="F52" s="31">
        <f>F32*(1+$B$49)^-4</f>
        <v>52172.483660364298</v>
      </c>
      <c r="G52" s="31">
        <f>G32*(1+$B$49)^-5</f>
        <v>110124.6468685712</v>
      </c>
    </row>
    <row r="53" spans="1:7" x14ac:dyDescent="0.25">
      <c r="A53" s="32" t="s">
        <v>39</v>
      </c>
      <c r="B53" s="33">
        <f>SUM(B52:G52)</f>
        <v>-47033.435756919615</v>
      </c>
    </row>
    <row r="54" spans="1:7" x14ac:dyDescent="0.25">
      <c r="A54" s="21">
        <f>B52+NPV(B49,C32:G32)</f>
        <v>-47033.435756919615</v>
      </c>
    </row>
    <row r="55" spans="1:7" x14ac:dyDescent="0.25">
      <c r="A55" s="32"/>
    </row>
    <row r="56" spans="1:7" x14ac:dyDescent="0.25">
      <c r="A56" s="32" t="s">
        <v>40</v>
      </c>
      <c r="B56" s="34">
        <f>IRR(B32:G32)</f>
        <v>0.10529557680396029</v>
      </c>
    </row>
    <row r="57" spans="1:7" x14ac:dyDescent="0.25">
      <c r="A57" s="32"/>
    </row>
    <row r="58" spans="1:7" x14ac:dyDescent="0.25">
      <c r="A58" s="32"/>
    </row>
    <row r="59" spans="1:7" x14ac:dyDescent="0.25">
      <c r="A59" s="22" t="s">
        <v>41</v>
      </c>
      <c r="B59" s="22"/>
    </row>
    <row r="60" spans="1:7" x14ac:dyDescent="0.25">
      <c r="A60" s="7" t="s">
        <v>7</v>
      </c>
      <c r="B60" s="35">
        <f>C52</f>
        <v>56521.739130434791</v>
      </c>
      <c r="C60" s="21"/>
      <c r="D60" s="21"/>
      <c r="E60" s="21"/>
      <c r="F60" s="21"/>
      <c r="G60" s="21"/>
    </row>
    <row r="61" spans="1:7" x14ac:dyDescent="0.25">
      <c r="A61" s="7" t="s">
        <v>8</v>
      </c>
      <c r="B61" s="35">
        <f>B60+D52</f>
        <v>105671.07750472592</v>
      </c>
      <c r="C61" s="21"/>
      <c r="D61" s="21"/>
      <c r="E61" s="21"/>
      <c r="F61" s="21"/>
      <c r="G61" s="21"/>
    </row>
    <row r="62" spans="1:7" x14ac:dyDescent="0.25">
      <c r="A62" s="7" t="s">
        <v>9</v>
      </c>
      <c r="B62" s="35">
        <f>B61+E52</f>
        <v>165669.43371414486</v>
      </c>
      <c r="C62" s="21"/>
      <c r="D62" s="21"/>
      <c r="E62" s="21"/>
      <c r="F62" s="21"/>
      <c r="G62" s="21"/>
    </row>
    <row r="63" spans="1:7" x14ac:dyDescent="0.25">
      <c r="A63" s="7" t="s">
        <v>10</v>
      </c>
      <c r="B63" s="35">
        <f>B62+F52</f>
        <v>217841.91737450915</v>
      </c>
      <c r="D63" s="21"/>
    </row>
    <row r="64" spans="1:7" x14ac:dyDescent="0.25">
      <c r="A64" s="7" t="s">
        <v>11</v>
      </c>
      <c r="B64" s="35">
        <f>B63+G52</f>
        <v>327966.56424308033</v>
      </c>
      <c r="C64" s="21" t="s">
        <v>46</v>
      </c>
      <c r="E64" s="36"/>
      <c r="F64" s="21"/>
      <c r="G64" s="37"/>
    </row>
    <row r="65" spans="1:2" x14ac:dyDescent="0.25">
      <c r="A65" s="32"/>
    </row>
    <row r="66" spans="1:2" x14ac:dyDescent="0.25">
      <c r="A66" s="32"/>
    </row>
    <row r="67" spans="1:2" x14ac:dyDescent="0.25">
      <c r="A67" s="38" t="s">
        <v>42</v>
      </c>
      <c r="B67" s="38"/>
    </row>
    <row r="68" spans="1:2" x14ac:dyDescent="0.25">
      <c r="A68" s="39">
        <f>SUM(C52:G52)/375000</f>
        <v>0.87457750464821415</v>
      </c>
    </row>
    <row r="69" spans="1:2" x14ac:dyDescent="0.25">
      <c r="A69" s="32"/>
    </row>
  </sheetData>
  <mergeCells count="6">
    <mergeCell ref="A34:B34"/>
    <mergeCell ref="A37:B37"/>
    <mergeCell ref="A44:B44"/>
    <mergeCell ref="A48:B48"/>
    <mergeCell ref="A59:B59"/>
    <mergeCell ref="A67:B6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F51F3-6638-48CD-BC68-619B2D555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839312-117B-46B8-B4F0-42300037D7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5C5BB5-6607-4BF4-B756-195DDB7B40C1}">
  <ds:schemaRefs>
    <ds:schemaRef ds:uri="http://purl.org/dc/terms/"/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 du cours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2022-08-01T12:22:34Z</dcterms:created>
  <dcterms:modified xsi:type="dcterms:W3CDTF">2022-08-01T12:32:59Z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