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eve-my.sharepoint.com/personal/eric_noel_univ-evry_fr/Documents/BUT/Cours BUT/Cours BUT1/R209 Controle de Gestion/Coût complet/Chapitre 1 Coût complet/2024 2025/"/>
    </mc:Choice>
  </mc:AlternateContent>
  <xr:revisionPtr revIDLastSave="0" documentId="8_{E2C16AB6-F6C8-43DF-A088-AE3E319792EB}" xr6:coauthVersionLast="36" xr6:coauthVersionMax="36" xr10:uidLastSave="{00000000-0000-0000-0000-000000000000}"/>
  <bookViews>
    <workbookView xWindow="0" yWindow="0" windowWidth="23040" windowHeight="8484" activeTab="1" xr2:uid="{26890A9A-68F7-46E3-981A-F921DE43209E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2" l="1"/>
  <c r="F34" i="2"/>
  <c r="F33" i="2"/>
  <c r="E33" i="2"/>
  <c r="G33" i="2"/>
  <c r="G31" i="2"/>
  <c r="D31" i="2"/>
  <c r="B33" i="2"/>
  <c r="D33" i="2"/>
  <c r="C33" i="2" s="1"/>
  <c r="C32" i="2"/>
  <c r="D32" i="2"/>
  <c r="E32" i="2"/>
  <c r="F32" i="2"/>
  <c r="G32" i="2"/>
  <c r="B32" i="2"/>
  <c r="F26" i="2"/>
  <c r="G26" i="2"/>
  <c r="C26" i="2"/>
  <c r="D26" i="2"/>
  <c r="G25" i="2"/>
  <c r="D25" i="2"/>
  <c r="F25" i="2"/>
  <c r="E25" i="2"/>
  <c r="B25" i="2"/>
  <c r="C25" i="2"/>
  <c r="G24" i="2"/>
  <c r="D24" i="2"/>
  <c r="E24" i="2"/>
  <c r="B24" i="2"/>
  <c r="B23" i="2"/>
  <c r="C23" i="2"/>
  <c r="D23" i="2"/>
  <c r="E23" i="2"/>
  <c r="F23" i="2"/>
  <c r="G23" i="2"/>
  <c r="A23" i="2"/>
  <c r="F18" i="2"/>
  <c r="C18" i="2"/>
  <c r="D18" i="2"/>
  <c r="G18" i="2"/>
  <c r="G17" i="2"/>
  <c r="F17" i="2"/>
  <c r="D17" i="2"/>
  <c r="C17" i="2"/>
  <c r="G16" i="2"/>
  <c r="D16" i="2"/>
  <c r="E16" i="2"/>
  <c r="B16" i="2"/>
  <c r="F16" i="2"/>
  <c r="C16" i="2"/>
  <c r="G10" i="2"/>
  <c r="G9" i="2"/>
  <c r="D10" i="2"/>
  <c r="D9" i="2"/>
  <c r="B15" i="2"/>
  <c r="E15" i="2"/>
  <c r="A15" i="2"/>
  <c r="C10" i="2"/>
  <c r="C15" i="2" s="1"/>
  <c r="F7" i="2"/>
  <c r="F8" i="2"/>
  <c r="G7" i="2"/>
  <c r="G8" i="2"/>
  <c r="G6" i="2"/>
  <c r="D8" i="2"/>
  <c r="D6" i="2"/>
  <c r="C8" i="2"/>
  <c r="C7" i="2"/>
  <c r="D7" i="2" s="1"/>
  <c r="C6" i="2"/>
  <c r="F6" i="2" s="1"/>
  <c r="F10" i="2" l="1"/>
  <c r="F15" i="2" s="1"/>
  <c r="G15" i="2"/>
  <c r="D15" i="2"/>
  <c r="B19" i="1" l="1"/>
  <c r="D19" i="1" s="1"/>
  <c r="G27" i="1"/>
  <c r="F26" i="1"/>
  <c r="E26" i="1"/>
  <c r="G26" i="1" s="1"/>
  <c r="E25" i="1"/>
  <c r="G25" i="1" s="1"/>
  <c r="D25" i="1"/>
  <c r="B26" i="1"/>
  <c r="B25" i="1"/>
  <c r="E19" i="1"/>
  <c r="E18" i="1"/>
  <c r="B18" i="1"/>
  <c r="G19" i="1"/>
  <c r="G12" i="1"/>
  <c r="E12" i="1"/>
  <c r="B12" i="1"/>
  <c r="D12" i="1" s="1"/>
  <c r="E11" i="1"/>
  <c r="G11" i="1" s="1"/>
  <c r="E10" i="1"/>
  <c r="G10" i="1" s="1"/>
  <c r="G13" i="1" s="1"/>
  <c r="F13" i="1" s="1"/>
  <c r="F18" i="1" s="1"/>
  <c r="G18" i="1" s="1"/>
  <c r="B11" i="1"/>
  <c r="D11" i="1" s="1"/>
  <c r="B10" i="1"/>
  <c r="D10" i="1"/>
  <c r="D5" i="1"/>
  <c r="D4" i="1"/>
  <c r="D6" i="1" s="1"/>
  <c r="B5" i="1"/>
  <c r="B4" i="1"/>
  <c r="D13" i="1" l="1"/>
  <c r="C13" i="1" s="1"/>
  <c r="C18" i="1" s="1"/>
  <c r="D18" i="1" s="1"/>
  <c r="D21" i="1" s="1"/>
  <c r="C21" i="1" s="1"/>
  <c r="C26" i="1" s="1"/>
  <c r="D26" i="1" s="1"/>
  <c r="D27" i="1" s="1"/>
  <c r="C27" i="1" s="1"/>
  <c r="F27" i="1"/>
  <c r="G21" i="1"/>
  <c r="F21" i="1" s="1"/>
</calcChain>
</file>

<file path=xl/sharedStrings.xml><?xml version="1.0" encoding="utf-8"?>
<sst xmlns="http://schemas.openxmlformats.org/spreadsheetml/2006/main" count="101" uniqueCount="38">
  <si>
    <t>Quantité</t>
  </si>
  <si>
    <t>Prix Unitaire</t>
  </si>
  <si>
    <t>Montant</t>
  </si>
  <si>
    <t>Composant</t>
  </si>
  <si>
    <t>Plastique</t>
  </si>
  <si>
    <t>COUT D'APPROVISIONNEMENT</t>
  </si>
  <si>
    <t>Smartphone</t>
  </si>
  <si>
    <t>Tablette</t>
  </si>
  <si>
    <t>Main d'œuvre directe</t>
  </si>
  <si>
    <t>COUT DE PRODUCTION</t>
  </si>
  <si>
    <t>Coût de production</t>
  </si>
  <si>
    <t>Commission</t>
  </si>
  <si>
    <t>Charges administratives</t>
  </si>
  <si>
    <t>Chiffre d'affaires</t>
  </si>
  <si>
    <t>Coût de revient</t>
  </si>
  <si>
    <t>Résultat Analytique</t>
  </si>
  <si>
    <t>ENTREES</t>
  </si>
  <si>
    <t>PU</t>
  </si>
  <si>
    <t>SORTIES</t>
  </si>
  <si>
    <t>Stock Initial</t>
  </si>
  <si>
    <t>Consommation</t>
  </si>
  <si>
    <t>Achats du mois</t>
  </si>
  <si>
    <t>Stock Final</t>
  </si>
  <si>
    <t>TOTAL</t>
  </si>
  <si>
    <t>MODELE ST+</t>
  </si>
  <si>
    <t>MODELE BT</t>
  </si>
  <si>
    <t>Q</t>
  </si>
  <si>
    <t>M</t>
  </si>
  <si>
    <t>COUT DE REVIENT</t>
  </si>
  <si>
    <t>RESULTAT ANALYTIQUE</t>
  </si>
  <si>
    <t>Cuir</t>
  </si>
  <si>
    <t>Carbone</t>
  </si>
  <si>
    <t>Caoutchouc</t>
  </si>
  <si>
    <t>Accessoires</t>
  </si>
  <si>
    <t>Charges de personnel</t>
  </si>
  <si>
    <t>Charges indirectes</t>
  </si>
  <si>
    <t>Frais de distribution</t>
  </si>
  <si>
    <t>Frais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</si>
</sst>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0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44" fontId="2" fillId="0" borderId="1" xfId="1" applyFont="1" applyBorder="1" applyAlignment="1">
      <alignment horizontal="center"/>
    </xf>
    <xf numFmtId="164" fontId="2" fillId="0" borderId="1" xfId="1" applyNumberFormat="1" applyFont="1" applyBorder="1"/>
    <xf numFmtId="0" fontId="2" fillId="0" borderId="1" xfId="0" applyFont="1" applyBorder="1"/>
    <xf numFmtId="44" fontId="2" fillId="0" borderId="1" xfId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9" fontId="0" fillId="0" borderId="1" xfId="2" applyFont="1" applyBorder="1"/>
    <xf numFmtId="44" fontId="0" fillId="0" borderId="1" xfId="2" applyNumberFormat="1" applyFont="1" applyBorder="1"/>
    <xf numFmtId="164" fontId="0" fillId="0" borderId="1" xfId="0" applyNumberFormat="1" applyBorder="1"/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8" fontId="3" fillId="0" borderId="6" xfId="0" applyNumberFormat="1" applyFont="1" applyBorder="1" applyAlignment="1">
      <alignment vertical="center"/>
    </xf>
    <xf numFmtId="8" fontId="4" fillId="0" borderId="6" xfId="0" applyNumberFormat="1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9" fontId="3" fillId="0" borderId="1" xfId="0" applyNumberFormat="1" applyFont="1" applyBorder="1" applyAlignment="1">
      <alignment vertical="center"/>
    </xf>
    <xf numFmtId="44" fontId="3" fillId="0" borderId="1" xfId="1" applyNumberFormat="1" applyFont="1" applyBorder="1" applyAlignment="1">
      <alignment vertical="center"/>
    </xf>
    <xf numFmtId="10" fontId="0" fillId="0" borderId="1" xfId="2" applyNumberFormat="1" applyFont="1" applyBorder="1"/>
    <xf numFmtId="44" fontId="3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3CBF-0A5D-4840-B10B-E250A3CD74F9}">
  <dimension ref="A3:R27"/>
  <sheetViews>
    <sheetView topLeftCell="A13" workbookViewId="0">
      <selection activeCell="M21" sqref="M21"/>
    </sheetView>
  </sheetViews>
  <sheetFormatPr baseColWidth="10" defaultRowHeight="14.4" x14ac:dyDescent="0.3"/>
  <cols>
    <col min="1" max="1" width="26.88671875" customWidth="1"/>
    <col min="3" max="3" width="11.6640625" bestFit="1" customWidth="1"/>
    <col min="4" max="4" width="12.6640625" bestFit="1" customWidth="1"/>
  </cols>
  <sheetData>
    <row r="3" spans="1:7" x14ac:dyDescent="0.3">
      <c r="A3" s="1"/>
      <c r="B3" s="3" t="s">
        <v>0</v>
      </c>
      <c r="C3" s="3" t="s">
        <v>1</v>
      </c>
      <c r="D3" s="3" t="s">
        <v>2</v>
      </c>
    </row>
    <row r="4" spans="1:7" x14ac:dyDescent="0.3">
      <c r="A4" s="1" t="s">
        <v>3</v>
      </c>
      <c r="B4" s="1">
        <f>4000*6+9*1000</f>
        <v>33000</v>
      </c>
      <c r="C4" s="2">
        <v>12</v>
      </c>
      <c r="D4" s="2">
        <f>B4*C4</f>
        <v>396000</v>
      </c>
    </row>
    <row r="5" spans="1:7" x14ac:dyDescent="0.3">
      <c r="A5" s="1" t="s">
        <v>4</v>
      </c>
      <c r="B5" s="1">
        <f>0.3*4000+0.7*1000</f>
        <v>1900</v>
      </c>
      <c r="C5" s="2">
        <v>5</v>
      </c>
      <c r="D5" s="2">
        <f>B5*C5</f>
        <v>9500</v>
      </c>
    </row>
    <row r="6" spans="1:7" x14ac:dyDescent="0.3">
      <c r="A6" s="34" t="s">
        <v>5</v>
      </c>
      <c r="B6" s="35"/>
      <c r="C6" s="36"/>
      <c r="D6" s="2">
        <f>D4+D5</f>
        <v>405500</v>
      </c>
    </row>
    <row r="8" spans="1:7" x14ac:dyDescent="0.3">
      <c r="B8" s="33" t="s">
        <v>6</v>
      </c>
      <c r="C8" s="33"/>
      <c r="D8" s="33"/>
      <c r="E8" s="33" t="s">
        <v>7</v>
      </c>
      <c r="F8" s="33"/>
      <c r="G8" s="33"/>
    </row>
    <row r="9" spans="1:7" x14ac:dyDescent="0.3">
      <c r="A9" s="1"/>
      <c r="B9" s="3" t="s">
        <v>0</v>
      </c>
      <c r="C9" s="3" t="s">
        <v>1</v>
      </c>
      <c r="D9" s="3" t="s">
        <v>2</v>
      </c>
      <c r="E9" s="3" t="s">
        <v>0</v>
      </c>
      <c r="F9" s="3" t="s">
        <v>1</v>
      </c>
      <c r="G9" s="3" t="s">
        <v>2</v>
      </c>
    </row>
    <row r="10" spans="1:7" x14ac:dyDescent="0.3">
      <c r="A10" s="1" t="s">
        <v>3</v>
      </c>
      <c r="B10" s="1">
        <f>4000*6</f>
        <v>24000</v>
      </c>
      <c r="C10" s="2">
        <v>12</v>
      </c>
      <c r="D10" s="2">
        <f>B10*C10</f>
        <v>288000</v>
      </c>
      <c r="E10" s="1">
        <f>9*1000</f>
        <v>9000</v>
      </c>
      <c r="F10" s="2">
        <v>12</v>
      </c>
      <c r="G10" s="2">
        <f>E10*F10</f>
        <v>108000</v>
      </c>
    </row>
    <row r="11" spans="1:7" x14ac:dyDescent="0.3">
      <c r="A11" s="1" t="s">
        <v>4</v>
      </c>
      <c r="B11" s="1">
        <f>0.3*4000</f>
        <v>1200</v>
      </c>
      <c r="C11" s="2">
        <v>5</v>
      </c>
      <c r="D11" s="2">
        <f>B11*C11</f>
        <v>6000</v>
      </c>
      <c r="E11" s="1">
        <f>0.7*1000</f>
        <v>700</v>
      </c>
      <c r="F11" s="2">
        <v>5</v>
      </c>
      <c r="G11" s="2">
        <f>E11*F11</f>
        <v>3500</v>
      </c>
    </row>
    <row r="12" spans="1:7" x14ac:dyDescent="0.3">
      <c r="A12" s="5" t="s">
        <v>8</v>
      </c>
      <c r="B12" s="1">
        <f>2.5*4000</f>
        <v>10000</v>
      </c>
      <c r="C12" s="2">
        <v>30</v>
      </c>
      <c r="D12" s="2">
        <f>B12*C12</f>
        <v>300000</v>
      </c>
      <c r="E12" s="1">
        <f>1000*3</f>
        <v>3000</v>
      </c>
      <c r="F12" s="2">
        <v>30</v>
      </c>
      <c r="G12" s="2">
        <f>F12*E12</f>
        <v>90000</v>
      </c>
    </row>
    <row r="13" spans="1:7" x14ac:dyDescent="0.3">
      <c r="A13" s="4" t="s">
        <v>9</v>
      </c>
      <c r="B13" s="11">
        <v>4000</v>
      </c>
      <c r="C13" s="6">
        <f>D13/B13</f>
        <v>148.5</v>
      </c>
      <c r="D13" s="7">
        <f>D10+D11+D12</f>
        <v>594000</v>
      </c>
      <c r="E13" s="8">
        <v>1000</v>
      </c>
      <c r="F13" s="9">
        <f>G13/E13</f>
        <v>201.5</v>
      </c>
      <c r="G13" s="10">
        <f>SUM(G10:G12)</f>
        <v>201500</v>
      </c>
    </row>
    <row r="16" spans="1:7" x14ac:dyDescent="0.3">
      <c r="B16" s="33" t="s">
        <v>6</v>
      </c>
      <c r="C16" s="33"/>
      <c r="D16" s="33"/>
      <c r="E16" s="33" t="s">
        <v>7</v>
      </c>
      <c r="F16" s="33"/>
      <c r="G16" s="33"/>
    </row>
    <row r="17" spans="1:18" x14ac:dyDescent="0.3">
      <c r="A17" s="1"/>
      <c r="B17" s="3" t="s">
        <v>0</v>
      </c>
      <c r="C17" s="3" t="s">
        <v>1</v>
      </c>
      <c r="D17" s="3" t="s">
        <v>2</v>
      </c>
      <c r="E17" s="3" t="s">
        <v>0</v>
      </c>
      <c r="F17" s="3" t="s">
        <v>1</v>
      </c>
      <c r="G17" s="3" t="s">
        <v>2</v>
      </c>
    </row>
    <row r="18" spans="1:18" ht="15" thickBot="1" x14ac:dyDescent="0.35">
      <c r="A18" s="1" t="s">
        <v>10</v>
      </c>
      <c r="B18" s="1">
        <f>B13</f>
        <v>4000</v>
      </c>
      <c r="C18" s="2">
        <f>C13</f>
        <v>148.5</v>
      </c>
      <c r="D18" s="2">
        <f>B18*C18</f>
        <v>594000</v>
      </c>
      <c r="E18" s="1">
        <f>E13</f>
        <v>1000</v>
      </c>
      <c r="F18" s="2">
        <f>F13</f>
        <v>201.5</v>
      </c>
      <c r="G18" s="2">
        <f>E18*F18</f>
        <v>201500</v>
      </c>
      <c r="K18" s="15" t="s">
        <v>16</v>
      </c>
      <c r="L18" s="16" t="s">
        <v>0</v>
      </c>
      <c r="M18" s="16" t="s">
        <v>17</v>
      </c>
      <c r="N18" s="16" t="s">
        <v>2</v>
      </c>
      <c r="O18" s="16" t="s">
        <v>18</v>
      </c>
      <c r="P18" s="16" t="s">
        <v>0</v>
      </c>
      <c r="Q18" s="16" t="s">
        <v>17</v>
      </c>
      <c r="R18" s="16" t="s">
        <v>2</v>
      </c>
    </row>
    <row r="19" spans="1:18" ht="15" thickBot="1" x14ac:dyDescent="0.35">
      <c r="A19" s="1" t="s">
        <v>11</v>
      </c>
      <c r="B19" s="14">
        <f>C25*4000</f>
        <v>920000</v>
      </c>
      <c r="C19" s="12">
        <v>0.15</v>
      </c>
      <c r="D19" s="2">
        <f>B19*C19</f>
        <v>138000</v>
      </c>
      <c r="E19" s="1">
        <f>1000*350</f>
        <v>350000</v>
      </c>
      <c r="F19" s="12">
        <v>0.15</v>
      </c>
      <c r="G19" s="2">
        <f>E19*F19</f>
        <v>52500</v>
      </c>
      <c r="K19" s="15" t="s">
        <v>19</v>
      </c>
      <c r="L19" s="17">
        <v>200</v>
      </c>
      <c r="M19" s="18"/>
      <c r="N19" s="19">
        <v>1130</v>
      </c>
      <c r="O19" s="18" t="s">
        <v>20</v>
      </c>
      <c r="P19" s="17">
        <v>1850</v>
      </c>
      <c r="Q19" s="20">
        <v>5.3</v>
      </c>
      <c r="R19" s="19">
        <v>9805</v>
      </c>
    </row>
    <row r="20" spans="1:18" ht="15" thickBot="1" x14ac:dyDescent="0.35">
      <c r="A20" s="5" t="s">
        <v>12</v>
      </c>
      <c r="B20" s="1"/>
      <c r="C20" s="2"/>
      <c r="D20" s="2">
        <v>130000</v>
      </c>
      <c r="E20" s="1"/>
      <c r="F20" s="2"/>
      <c r="G20" s="2">
        <v>110000</v>
      </c>
      <c r="K20" s="15" t="s">
        <v>21</v>
      </c>
      <c r="L20" s="17">
        <v>1700</v>
      </c>
      <c r="M20" s="18"/>
      <c r="N20" s="19">
        <v>8940</v>
      </c>
      <c r="O20" s="18" t="s">
        <v>22</v>
      </c>
      <c r="P20" s="17">
        <v>50</v>
      </c>
      <c r="Q20" s="20">
        <v>5.3</v>
      </c>
      <c r="R20" s="19">
        <v>265</v>
      </c>
    </row>
    <row r="21" spans="1:18" ht="15" thickBot="1" x14ac:dyDescent="0.35">
      <c r="A21" s="4" t="s">
        <v>9</v>
      </c>
      <c r="B21" s="3">
        <v>4000</v>
      </c>
      <c r="C21" s="6">
        <f>D21/B21</f>
        <v>215.5</v>
      </c>
      <c r="D21" s="7">
        <f>D18+D19+D20</f>
        <v>862000</v>
      </c>
      <c r="E21" s="8">
        <v>1000</v>
      </c>
      <c r="F21" s="9">
        <f>G21/E21</f>
        <v>364</v>
      </c>
      <c r="G21" s="10">
        <f>SUM(G18:G20)</f>
        <v>364000</v>
      </c>
      <c r="K21" s="15" t="s">
        <v>23</v>
      </c>
      <c r="L21" s="17">
        <v>1900</v>
      </c>
      <c r="M21" s="21">
        <v>5.3</v>
      </c>
      <c r="N21" s="19">
        <v>10070</v>
      </c>
      <c r="O21" s="18" t="s">
        <v>23</v>
      </c>
      <c r="P21" s="17">
        <v>1900</v>
      </c>
      <c r="Q21" s="20">
        <v>5.3</v>
      </c>
      <c r="R21" s="19">
        <v>10070</v>
      </c>
    </row>
    <row r="23" spans="1:18" x14ac:dyDescent="0.3">
      <c r="B23" s="33" t="s">
        <v>6</v>
      </c>
      <c r="C23" s="33"/>
      <c r="D23" s="33"/>
      <c r="E23" s="33" t="s">
        <v>7</v>
      </c>
      <c r="F23" s="33"/>
      <c r="G23" s="33"/>
    </row>
    <row r="24" spans="1:18" x14ac:dyDescent="0.3">
      <c r="A24" s="1"/>
      <c r="B24" s="3" t="s">
        <v>0</v>
      </c>
      <c r="C24" s="3" t="s">
        <v>1</v>
      </c>
      <c r="D24" s="3" t="s">
        <v>2</v>
      </c>
      <c r="E24" s="3" t="s">
        <v>0</v>
      </c>
      <c r="F24" s="3" t="s">
        <v>1</v>
      </c>
      <c r="G24" s="3" t="s">
        <v>2</v>
      </c>
    </row>
    <row r="25" spans="1:18" x14ac:dyDescent="0.3">
      <c r="A25" s="1" t="s">
        <v>13</v>
      </c>
      <c r="B25" s="1">
        <f>B21</f>
        <v>4000</v>
      </c>
      <c r="C25" s="2">
        <v>230</v>
      </c>
      <c r="D25" s="2">
        <f>B25*C25</f>
        <v>920000</v>
      </c>
      <c r="E25" s="1">
        <f>E21</f>
        <v>1000</v>
      </c>
      <c r="F25" s="2">
        <v>350</v>
      </c>
      <c r="G25" s="2">
        <f>E25*F25</f>
        <v>350000</v>
      </c>
    </row>
    <row r="26" spans="1:18" x14ac:dyDescent="0.3">
      <c r="A26" s="1" t="s">
        <v>14</v>
      </c>
      <c r="B26" s="1">
        <f>B21</f>
        <v>4000</v>
      </c>
      <c r="C26" s="13">
        <f>C21</f>
        <v>215.5</v>
      </c>
      <c r="D26" s="2">
        <f>B26*C26</f>
        <v>862000</v>
      </c>
      <c r="E26" s="1">
        <f>E21</f>
        <v>1000</v>
      </c>
      <c r="F26" s="13">
        <f>F21</f>
        <v>364</v>
      </c>
      <c r="G26" s="2">
        <f>E26*F26</f>
        <v>364000</v>
      </c>
    </row>
    <row r="27" spans="1:18" x14ac:dyDescent="0.3">
      <c r="A27" s="4" t="s">
        <v>15</v>
      </c>
      <c r="B27" s="3">
        <v>4000</v>
      </c>
      <c r="C27" s="6">
        <f>D27/B27</f>
        <v>14.5</v>
      </c>
      <c r="D27" s="7">
        <f>D25-D26</f>
        <v>58000</v>
      </c>
      <c r="E27" s="8">
        <v>1000</v>
      </c>
      <c r="F27" s="9">
        <f>G27/E27</f>
        <v>-14</v>
      </c>
      <c r="G27" s="10">
        <f>G25-G26</f>
        <v>-14000</v>
      </c>
    </row>
  </sheetData>
  <mergeCells count="7">
    <mergeCell ref="B23:D23"/>
    <mergeCell ref="E23:G23"/>
    <mergeCell ref="A6:C6"/>
    <mergeCell ref="B8:D8"/>
    <mergeCell ref="E8:G8"/>
    <mergeCell ref="B16:D16"/>
    <mergeCell ref="E16:G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363A-CED0-4BCB-B6C8-B6E208074F68}">
  <dimension ref="A4:G34"/>
  <sheetViews>
    <sheetView tabSelected="1" workbookViewId="0">
      <selection activeCell="J11" sqref="J11"/>
    </sheetView>
  </sheetViews>
  <sheetFormatPr baseColWidth="10" defaultRowHeight="14.4" x14ac:dyDescent="0.3"/>
  <cols>
    <col min="1" max="1" width="27.6640625" bestFit="1" customWidth="1"/>
    <col min="4" max="4" width="12.6640625" bestFit="1" customWidth="1"/>
    <col min="7" max="7" width="12.6640625" bestFit="1" customWidth="1"/>
  </cols>
  <sheetData>
    <row r="4" spans="1:7" x14ac:dyDescent="0.3">
      <c r="A4" s="22"/>
      <c r="B4" s="37" t="s">
        <v>24</v>
      </c>
      <c r="C4" s="37"/>
      <c r="D4" s="37"/>
      <c r="E4" s="37" t="s">
        <v>25</v>
      </c>
      <c r="F4" s="37"/>
      <c r="G4" s="37"/>
    </row>
    <row r="5" spans="1:7" x14ac:dyDescent="0.3">
      <c r="A5" s="22"/>
      <c r="B5" s="23" t="s">
        <v>26</v>
      </c>
      <c r="C5" s="23" t="s">
        <v>17</v>
      </c>
      <c r="D5" s="23" t="s">
        <v>27</v>
      </c>
      <c r="E5" s="23" t="s">
        <v>26</v>
      </c>
      <c r="F5" s="23" t="s">
        <v>17</v>
      </c>
      <c r="G5" s="23" t="s">
        <v>27</v>
      </c>
    </row>
    <row r="6" spans="1:7" x14ac:dyDescent="0.3">
      <c r="A6" s="1" t="s">
        <v>30</v>
      </c>
      <c r="B6" s="22">
        <v>150</v>
      </c>
      <c r="C6" s="24">
        <f>15750/225</f>
        <v>70</v>
      </c>
      <c r="D6" s="25">
        <f>B6*C6</f>
        <v>10500</v>
      </c>
      <c r="E6" s="22">
        <v>75</v>
      </c>
      <c r="F6" s="25">
        <f>C6</f>
        <v>70</v>
      </c>
      <c r="G6" s="25">
        <f>E6*F6</f>
        <v>5250</v>
      </c>
    </row>
    <row r="7" spans="1:7" x14ac:dyDescent="0.3">
      <c r="A7" s="22" t="s">
        <v>31</v>
      </c>
      <c r="B7" s="22">
        <v>60</v>
      </c>
      <c r="C7" s="24">
        <f>14625/97.5</f>
        <v>150</v>
      </c>
      <c r="D7" s="25">
        <f t="shared" ref="D7:D8" si="0">B7*C7</f>
        <v>9000</v>
      </c>
      <c r="E7" s="22">
        <v>37.5</v>
      </c>
      <c r="F7" s="25">
        <f t="shared" ref="F7:F8" si="1">C7</f>
        <v>150</v>
      </c>
      <c r="G7" s="25">
        <f t="shared" ref="G7:G8" si="2">E7*F7</f>
        <v>5625</v>
      </c>
    </row>
    <row r="8" spans="1:7" x14ac:dyDescent="0.3">
      <c r="A8" s="22" t="s">
        <v>32</v>
      </c>
      <c r="B8" s="22">
        <v>60</v>
      </c>
      <c r="C8" s="24">
        <f>7400/185</f>
        <v>40</v>
      </c>
      <c r="D8" s="25">
        <f t="shared" si="0"/>
        <v>2400</v>
      </c>
      <c r="E8" s="22">
        <v>125</v>
      </c>
      <c r="F8" s="25">
        <f t="shared" si="1"/>
        <v>40</v>
      </c>
      <c r="G8" s="25">
        <f t="shared" si="2"/>
        <v>5000</v>
      </c>
    </row>
    <row r="9" spans="1:7" x14ac:dyDescent="0.3">
      <c r="A9" s="22" t="s">
        <v>33</v>
      </c>
      <c r="B9" s="22">
        <v>750</v>
      </c>
      <c r="C9" s="24">
        <v>13</v>
      </c>
      <c r="D9" s="25">
        <f>C9*B9</f>
        <v>9750</v>
      </c>
      <c r="E9" s="22">
        <v>1250</v>
      </c>
      <c r="F9" s="25">
        <v>8</v>
      </c>
      <c r="G9" s="25">
        <f>E9*F9</f>
        <v>10000</v>
      </c>
    </row>
    <row r="10" spans="1:7" x14ac:dyDescent="0.3">
      <c r="A10" s="26" t="s">
        <v>5</v>
      </c>
      <c r="B10" s="26">
        <v>750</v>
      </c>
      <c r="C10" s="28">
        <f>D10/B10</f>
        <v>42.2</v>
      </c>
      <c r="D10" s="27">
        <f>SUM(D6:D9)</f>
        <v>31650</v>
      </c>
      <c r="E10" s="26">
        <v>1250</v>
      </c>
      <c r="F10" s="27">
        <f>G10/E10</f>
        <v>20.7</v>
      </c>
      <c r="G10" s="27">
        <f>SUM(G6:G9)</f>
        <v>25875</v>
      </c>
    </row>
    <row r="13" spans="1:7" x14ac:dyDescent="0.3">
      <c r="A13" s="22"/>
      <c r="B13" s="37" t="s">
        <v>24</v>
      </c>
      <c r="C13" s="37"/>
      <c r="D13" s="37"/>
      <c r="E13" s="37" t="s">
        <v>25</v>
      </c>
      <c r="F13" s="37"/>
      <c r="G13" s="37"/>
    </row>
    <row r="14" spans="1:7" x14ac:dyDescent="0.3">
      <c r="A14" s="22"/>
      <c r="B14" s="23" t="s">
        <v>26</v>
      </c>
      <c r="C14" s="23" t="s">
        <v>17</v>
      </c>
      <c r="D14" s="23" t="s">
        <v>27</v>
      </c>
      <c r="E14" s="23" t="s">
        <v>26</v>
      </c>
      <c r="F14" s="23" t="s">
        <v>17</v>
      </c>
      <c r="G14" s="23" t="s">
        <v>27</v>
      </c>
    </row>
    <row r="15" spans="1:7" x14ac:dyDescent="0.3">
      <c r="A15" s="22" t="str">
        <f>A10</f>
        <v>COUT D'APPROVISIONNEMENT</v>
      </c>
      <c r="B15" s="22">
        <f t="shared" ref="B15:G15" si="3">B10</f>
        <v>750</v>
      </c>
      <c r="C15" s="24">
        <f t="shared" si="3"/>
        <v>42.2</v>
      </c>
      <c r="D15" s="24">
        <f t="shared" si="3"/>
        <v>31650</v>
      </c>
      <c r="E15" s="22">
        <f t="shared" si="3"/>
        <v>1250</v>
      </c>
      <c r="F15" s="24">
        <f t="shared" si="3"/>
        <v>20.7</v>
      </c>
      <c r="G15" s="24">
        <f t="shared" si="3"/>
        <v>25875</v>
      </c>
    </row>
    <row r="16" spans="1:7" x14ac:dyDescent="0.3">
      <c r="A16" s="22" t="s">
        <v>34</v>
      </c>
      <c r="B16" s="22">
        <f>1.25*750</f>
        <v>937.5</v>
      </c>
      <c r="C16" s="24">
        <f>70312.5/(1.25*750+0.5*1250)</f>
        <v>45</v>
      </c>
      <c r="D16" s="25">
        <f>B16*C16</f>
        <v>42187.5</v>
      </c>
      <c r="E16" s="22">
        <f>1250*0.5</f>
        <v>625</v>
      </c>
      <c r="F16" s="25">
        <f>C16</f>
        <v>45</v>
      </c>
      <c r="G16" s="25">
        <f>E16*F16</f>
        <v>28125</v>
      </c>
    </row>
    <row r="17" spans="1:7" x14ac:dyDescent="0.3">
      <c r="A17" s="22" t="s">
        <v>35</v>
      </c>
      <c r="B17" s="22">
        <v>750</v>
      </c>
      <c r="C17" s="22">
        <f>35000/2000</f>
        <v>17.5</v>
      </c>
      <c r="D17" s="24">
        <f>B17*C17</f>
        <v>13125</v>
      </c>
      <c r="E17" s="22">
        <v>1250</v>
      </c>
      <c r="F17" s="22">
        <f>C17</f>
        <v>17.5</v>
      </c>
      <c r="G17" s="24">
        <f>E17*F17</f>
        <v>21875</v>
      </c>
    </row>
    <row r="18" spans="1:7" x14ac:dyDescent="0.3">
      <c r="A18" s="26" t="s">
        <v>9</v>
      </c>
      <c r="B18" s="26">
        <v>750</v>
      </c>
      <c r="C18" s="27">
        <f>D18/B18</f>
        <v>115.95</v>
      </c>
      <c r="D18" s="27">
        <f>SUM(D15:D17)</f>
        <v>86962.5</v>
      </c>
      <c r="E18" s="26">
        <v>1250</v>
      </c>
      <c r="F18" s="27">
        <f>G18/E18</f>
        <v>60.7</v>
      </c>
      <c r="G18" s="27">
        <f>SUM(G15:G17)</f>
        <v>75875</v>
      </c>
    </row>
    <row r="21" spans="1:7" x14ac:dyDescent="0.3">
      <c r="A21" s="22"/>
      <c r="B21" s="37" t="s">
        <v>24</v>
      </c>
      <c r="C21" s="37"/>
      <c r="D21" s="37"/>
      <c r="E21" s="37" t="s">
        <v>25</v>
      </c>
      <c r="F21" s="37"/>
      <c r="G21" s="37"/>
    </row>
    <row r="22" spans="1:7" x14ac:dyDescent="0.3">
      <c r="A22" s="22"/>
      <c r="B22" s="23" t="s">
        <v>26</v>
      </c>
      <c r="C22" s="23" t="s">
        <v>17</v>
      </c>
      <c r="D22" s="23" t="s">
        <v>27</v>
      </c>
      <c r="E22" s="23" t="s">
        <v>26</v>
      </c>
      <c r="F22" s="23" t="s">
        <v>17</v>
      </c>
      <c r="G22" s="23" t="s">
        <v>27</v>
      </c>
    </row>
    <row r="23" spans="1:7" x14ac:dyDescent="0.3">
      <c r="A23" s="22" t="str">
        <f>A18</f>
        <v>COUT DE PRODUCTION</v>
      </c>
      <c r="B23" s="22">
        <f t="shared" ref="B23:G23" si="4">B18</f>
        <v>750</v>
      </c>
      <c r="C23" s="24">
        <f t="shared" si="4"/>
        <v>115.95</v>
      </c>
      <c r="D23" s="24">
        <f t="shared" si="4"/>
        <v>86962.5</v>
      </c>
      <c r="E23" s="22">
        <f t="shared" si="4"/>
        <v>1250</v>
      </c>
      <c r="F23" s="24">
        <f t="shared" si="4"/>
        <v>60.7</v>
      </c>
      <c r="G23" s="24">
        <f t="shared" si="4"/>
        <v>75875</v>
      </c>
    </row>
    <row r="24" spans="1:7" x14ac:dyDescent="0.3">
      <c r="A24" s="22" t="s">
        <v>36</v>
      </c>
      <c r="B24" s="22">
        <f>165*750</f>
        <v>123750</v>
      </c>
      <c r="C24" s="29">
        <v>0.1</v>
      </c>
      <c r="D24" s="24">
        <f>B24*C24</f>
        <v>12375</v>
      </c>
      <c r="E24" s="22">
        <f>85*1250</f>
        <v>106250</v>
      </c>
      <c r="F24" s="29">
        <v>0.1</v>
      </c>
      <c r="G24" s="24">
        <f>E24*F24</f>
        <v>10625</v>
      </c>
    </row>
    <row r="25" spans="1:7" x14ac:dyDescent="0.3">
      <c r="A25" s="22" t="s">
        <v>37</v>
      </c>
      <c r="B25" s="22">
        <f>B24</f>
        <v>123750</v>
      </c>
      <c r="C25" s="30">
        <f>34500/(B24+E24)</f>
        <v>0.15</v>
      </c>
      <c r="D25" s="25">
        <f>B25*C25</f>
        <v>18562.5</v>
      </c>
      <c r="E25" s="22">
        <f>E24</f>
        <v>106250</v>
      </c>
      <c r="F25" s="25">
        <f>C25</f>
        <v>0.15</v>
      </c>
      <c r="G25" s="25">
        <f>E25*F25</f>
        <v>15937.5</v>
      </c>
    </row>
    <row r="26" spans="1:7" x14ac:dyDescent="0.3">
      <c r="A26" s="26" t="s">
        <v>28</v>
      </c>
      <c r="B26" s="26">
        <v>750</v>
      </c>
      <c r="C26" s="27">
        <f>D26/B26</f>
        <v>157.19999999999999</v>
      </c>
      <c r="D26" s="27">
        <f>SUM(D23:D25)</f>
        <v>117900</v>
      </c>
      <c r="E26" s="26">
        <v>1250</v>
      </c>
      <c r="F26" s="27">
        <f>G26/E26</f>
        <v>81.95</v>
      </c>
      <c r="G26" s="27">
        <f>SUM(G23:G25)</f>
        <v>102437.5</v>
      </c>
    </row>
    <row r="29" spans="1:7" x14ac:dyDescent="0.3">
      <c r="A29" s="22"/>
      <c r="B29" s="37" t="s">
        <v>24</v>
      </c>
      <c r="C29" s="37"/>
      <c r="D29" s="37"/>
      <c r="E29" s="37" t="s">
        <v>25</v>
      </c>
      <c r="F29" s="37"/>
      <c r="G29" s="37"/>
    </row>
    <row r="30" spans="1:7" x14ac:dyDescent="0.3">
      <c r="A30" s="22"/>
      <c r="B30" s="23" t="s">
        <v>26</v>
      </c>
      <c r="C30" s="23" t="s">
        <v>17</v>
      </c>
      <c r="D30" s="23" t="s">
        <v>27</v>
      </c>
      <c r="E30" s="23" t="s">
        <v>26</v>
      </c>
      <c r="F30" s="23" t="s">
        <v>17</v>
      </c>
      <c r="G30" s="23" t="s">
        <v>27</v>
      </c>
    </row>
    <row r="31" spans="1:7" x14ac:dyDescent="0.3">
      <c r="A31" s="22" t="s">
        <v>13</v>
      </c>
      <c r="B31" s="23">
        <v>750</v>
      </c>
      <c r="C31" s="32">
        <v>165</v>
      </c>
      <c r="D31" s="32">
        <f>B31*C31</f>
        <v>123750</v>
      </c>
      <c r="E31" s="23">
        <v>1250</v>
      </c>
      <c r="F31" s="32">
        <v>85</v>
      </c>
      <c r="G31" s="32">
        <f>E31*F31</f>
        <v>106250</v>
      </c>
    </row>
    <row r="32" spans="1:7" x14ac:dyDescent="0.3">
      <c r="A32" s="22" t="s">
        <v>14</v>
      </c>
      <c r="B32" s="22">
        <f>B26</f>
        <v>750</v>
      </c>
      <c r="C32" s="24">
        <f t="shared" ref="C32:G32" si="5">C26</f>
        <v>157.19999999999999</v>
      </c>
      <c r="D32" s="24">
        <f t="shared" si="5"/>
        <v>117900</v>
      </c>
      <c r="E32" s="22">
        <f t="shared" si="5"/>
        <v>1250</v>
      </c>
      <c r="F32" s="24">
        <f t="shared" si="5"/>
        <v>81.95</v>
      </c>
      <c r="G32" s="24">
        <f t="shared" si="5"/>
        <v>102437.5</v>
      </c>
    </row>
    <row r="33" spans="1:7" x14ac:dyDescent="0.3">
      <c r="A33" s="26" t="s">
        <v>29</v>
      </c>
      <c r="B33" s="26">
        <f>B31</f>
        <v>750</v>
      </c>
      <c r="C33" s="28">
        <f>D33/B33</f>
        <v>7.8</v>
      </c>
      <c r="D33" s="28">
        <f>D31-D32</f>
        <v>5850</v>
      </c>
      <c r="E33" s="26">
        <f>E31</f>
        <v>1250</v>
      </c>
      <c r="F33" s="28">
        <f>G33/E33</f>
        <v>3.05</v>
      </c>
      <c r="G33" s="28">
        <f>G31-G32</f>
        <v>3812.5</v>
      </c>
    </row>
    <row r="34" spans="1:7" x14ac:dyDescent="0.3">
      <c r="C34" s="31">
        <f>C33/C31</f>
        <v>4.7272727272727272E-2</v>
      </c>
      <c r="F34" s="31">
        <f>F33/F31</f>
        <v>3.5882352941176469E-2</v>
      </c>
    </row>
  </sheetData>
  <mergeCells count="8">
    <mergeCell ref="B29:D29"/>
    <mergeCell ref="E29:G29"/>
    <mergeCell ref="B4:D4"/>
    <mergeCell ref="E4:G4"/>
    <mergeCell ref="B13:D13"/>
    <mergeCell ref="E13:G13"/>
    <mergeCell ref="B21:D21"/>
    <mergeCell ref="E21:G2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29F2146C75048A695AB3F03D98EF9" ma:contentTypeVersion="13" ma:contentTypeDescription="Crée un document." ma:contentTypeScope="" ma:versionID="004305b9ba1f59b01a23a59990f87095">
  <xsd:schema xmlns:xsd="http://www.w3.org/2001/XMLSchema" xmlns:xs="http://www.w3.org/2001/XMLSchema" xmlns:p="http://schemas.microsoft.com/office/2006/metadata/properties" xmlns:ns3="1b6f2b70-d5a1-4544-a145-5b4293f13656" targetNamespace="http://schemas.microsoft.com/office/2006/metadata/properties" ma:root="true" ma:fieldsID="75a34bc176e8170bf87c5b4eeb6b3ded" ns3:_="">
    <xsd:import namespace="1b6f2b70-d5a1-4544-a145-5b4293f136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f2b70-d5a1-4544-a145-5b4293f13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b6f2b70-d5a1-4544-a145-5b4293f13656" xsi:nil="true"/>
  </documentManagement>
</p:properties>
</file>

<file path=customXml/itemProps1.xml><?xml version="1.0" encoding="utf-8"?>
<ds:datastoreItem xmlns:ds="http://schemas.openxmlformats.org/officeDocument/2006/customXml" ds:itemID="{BE777B92-260C-46AE-86D7-80EC13CFF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f2b70-d5a1-4544-a145-5b4293f136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E282D4-B820-43C2-BF01-E0518F0903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A9A4A5-91A5-40DF-8F0C-98F73AF649AF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1b6f2b70-d5a1-4544-a145-5b4293f13656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Noel</dc:creator>
  <cp:lastModifiedBy>Eric Noel</cp:lastModifiedBy>
  <dcterms:created xsi:type="dcterms:W3CDTF">2025-02-09T12:48:05Z</dcterms:created>
  <dcterms:modified xsi:type="dcterms:W3CDTF">2026-02-03T12:20:21Z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0x01010021529F2146C75048A695AB3F03D98EF9</vt:lpwstr>
  </property>
</Properties>
</file>