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M32F05 - M32M05 FA - FI\Méthode ABC\"/>
    </mc:Choice>
  </mc:AlternateContent>
  <bookViews>
    <workbookView xWindow="360" yWindow="390" windowWidth="28275" windowHeight="12315"/>
  </bookViews>
  <sheets>
    <sheet name="Exercice 4" sheetId="5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7" i="5" l="1"/>
  <c r="B54" i="5" l="1"/>
  <c r="B18" i="5" l="1"/>
  <c r="E6" i="5"/>
  <c r="B6" i="5" l="1"/>
  <c r="D6" i="5" s="1"/>
  <c r="D74" i="5"/>
  <c r="B59" i="5"/>
  <c r="B56" i="5"/>
  <c r="E54" i="5"/>
  <c r="D49" i="5"/>
  <c r="B49" i="5"/>
  <c r="A49" i="5"/>
  <c r="A59" i="5" s="1"/>
  <c r="B48" i="5"/>
  <c r="A48" i="5"/>
  <c r="A58" i="5" s="1"/>
  <c r="B47" i="5"/>
  <c r="A47" i="5"/>
  <c r="A57" i="5" s="1"/>
  <c r="D46" i="5"/>
  <c r="B46" i="5"/>
  <c r="A46" i="5"/>
  <c r="A56" i="5" s="1"/>
  <c r="B45" i="5"/>
  <c r="B74" i="5" s="1"/>
  <c r="A45" i="5"/>
  <c r="A74" i="5" s="1"/>
  <c r="B44" i="5"/>
  <c r="A44" i="5"/>
  <c r="A54" i="5" s="1"/>
  <c r="G39" i="5"/>
  <c r="D48" i="5" s="1"/>
  <c r="G37" i="5"/>
  <c r="D47" i="5" s="1"/>
  <c r="G34" i="5"/>
  <c r="D45" i="5" s="1"/>
  <c r="G33" i="5"/>
  <c r="D44" i="5" s="1"/>
  <c r="G44" i="5" s="1"/>
  <c r="C54" i="5" s="1"/>
  <c r="C18" i="5"/>
  <c r="D18" i="5" s="1"/>
  <c r="D19" i="5" s="1"/>
  <c r="C27" i="5" s="1"/>
  <c r="B19" i="5"/>
  <c r="C25" i="5" s="1"/>
  <c r="F25" i="5" s="1"/>
  <c r="G6" i="5"/>
  <c r="E57" i="5"/>
  <c r="G5" i="5"/>
  <c r="D5" i="5"/>
  <c r="B25" i="5" s="1"/>
  <c r="G48" i="5" l="1"/>
  <c r="C58" i="5" s="1"/>
  <c r="F58" i="5" s="1"/>
  <c r="G58" i="5" s="1"/>
  <c r="D7" i="5"/>
  <c r="D25" i="5"/>
  <c r="G45" i="5"/>
  <c r="C55" i="5" s="1"/>
  <c r="C78" i="5" s="1"/>
  <c r="G49" i="5"/>
  <c r="C59" i="5" s="1"/>
  <c r="F59" i="5" s="1"/>
  <c r="G59" i="5" s="1"/>
  <c r="G47" i="5"/>
  <c r="C57" i="5" s="1"/>
  <c r="F57" i="5" s="1"/>
  <c r="G57" i="5" s="1"/>
  <c r="G46" i="5"/>
  <c r="C56" i="5" s="1"/>
  <c r="F56" i="5" s="1"/>
  <c r="G56" i="5" s="1"/>
  <c r="A55" i="5"/>
  <c r="C19" i="5"/>
  <c r="C26" i="5" s="1"/>
  <c r="F26" i="5" s="1"/>
  <c r="G26" i="5" s="1"/>
  <c r="G7" i="5"/>
  <c r="G24" i="5" s="1"/>
  <c r="G74" i="5"/>
  <c r="C79" i="5" s="1"/>
  <c r="D79" i="5" s="1"/>
  <c r="D65" i="5"/>
  <c r="D24" i="5"/>
  <c r="C7" i="5"/>
  <c r="F27" i="5"/>
  <c r="G27" i="5" s="1"/>
  <c r="D27" i="5"/>
  <c r="F54" i="5"/>
  <c r="G54" i="5" s="1"/>
  <c r="D54" i="5"/>
  <c r="D58" i="5"/>
  <c r="E25" i="5"/>
  <c r="G25" i="5" s="1"/>
  <c r="G36" i="5"/>
  <c r="B57" i="5"/>
  <c r="G38" i="5"/>
  <c r="D56" i="5" l="1"/>
  <c r="D57" i="5"/>
  <c r="D59" i="5"/>
  <c r="D55" i="5"/>
  <c r="F79" i="5"/>
  <c r="G79" i="5" s="1"/>
  <c r="F7" i="5"/>
  <c r="G65" i="5"/>
  <c r="F55" i="5"/>
  <c r="G55" i="5" s="1"/>
  <c r="G60" i="5" s="1"/>
  <c r="F60" i="5" s="1"/>
  <c r="D26" i="5"/>
  <c r="D28" i="5" s="1"/>
  <c r="C28" i="5" s="1"/>
  <c r="G28" i="5"/>
  <c r="F28" i="5" s="1"/>
  <c r="F78" i="5"/>
  <c r="G78" i="5" s="1"/>
  <c r="D78" i="5"/>
  <c r="D80" i="5" s="1"/>
  <c r="D60" i="5" l="1"/>
  <c r="D66" i="5" s="1"/>
  <c r="D67" i="5" s="1"/>
  <c r="C67" i="5" s="1"/>
  <c r="G80" i="5"/>
  <c r="G66" i="5"/>
  <c r="G67" i="5" s="1"/>
  <c r="F67" i="5" s="1"/>
  <c r="C60" i="5" l="1"/>
</calcChain>
</file>

<file path=xl/comments1.xml><?xml version="1.0" encoding="utf-8"?>
<comments xmlns="http://schemas.openxmlformats.org/spreadsheetml/2006/main">
  <authors>
    <author>NOEL Eric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6,5/60 * 50000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=10/60*10000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=(25*50000)+(38000*24)+(30*30000)+(24000*33)+(40*10000)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Montant de l'UO pour 1€ d'achat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25€ * 50000 =
 1 250 000€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</rPr>
          <t>6,5/60 * 50000 = 5416,67h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<sst xmlns="http://schemas.openxmlformats.org/spreadsheetml/2006/main" count="95" uniqueCount="55">
  <si>
    <t>Inducteurs</t>
  </si>
  <si>
    <t>Activités</t>
  </si>
  <si>
    <t>Coût de l'inducteur</t>
  </si>
  <si>
    <t>Q</t>
  </si>
  <si>
    <t>PU</t>
  </si>
  <si>
    <t>M</t>
  </si>
  <si>
    <t>TOTAL</t>
  </si>
  <si>
    <t>COUT DE REVIENT</t>
  </si>
  <si>
    <t>Production</t>
  </si>
  <si>
    <t>Charges indirectes</t>
  </si>
  <si>
    <t>Question 1</t>
  </si>
  <si>
    <t>COUT DIRECT</t>
  </si>
  <si>
    <t>B1</t>
  </si>
  <si>
    <t>B5</t>
  </si>
  <si>
    <t>COUT D'ACHAT</t>
  </si>
  <si>
    <t>MOD</t>
  </si>
  <si>
    <t>Approv.</t>
  </si>
  <si>
    <t>Distribution</t>
  </si>
  <si>
    <t>Nbre UO</t>
  </si>
  <si>
    <t>Charges Ind. Approvisionnement</t>
  </si>
  <si>
    <t>Charges Ind. Production</t>
  </si>
  <si>
    <t>Charges Ind. Distribution</t>
  </si>
  <si>
    <t>Question 3</t>
  </si>
  <si>
    <t>ANALYSE DES CHARGES INDIRECTES PAR ACTIVITES</t>
  </si>
  <si>
    <t>Charges (ressources)</t>
  </si>
  <si>
    <t>Nbre Inducteurs</t>
  </si>
  <si>
    <t>Gestion des matières premières</t>
  </si>
  <si>
    <t>Nombre de références matières premières</t>
  </si>
  <si>
    <t>Gestion des lots mis en fabrication</t>
  </si>
  <si>
    <t>Nombre de lots mis en fabrication</t>
  </si>
  <si>
    <t>Gestion des modèles</t>
  </si>
  <si>
    <t>Nombre de modèles</t>
  </si>
  <si>
    <t>Entretien du matériel de production</t>
  </si>
  <si>
    <t>Gestion de l’atelier de production</t>
  </si>
  <si>
    <t>Nombre d'heures</t>
  </si>
  <si>
    <t>Gestion des fournisseurs</t>
  </si>
  <si>
    <t>Gestion des magasins spécialisés</t>
  </si>
  <si>
    <t>Nombre de produits pour les magasins spécialisés</t>
  </si>
  <si>
    <t>Gestion des grands magasins</t>
  </si>
  <si>
    <t>Nombre de lots pour les grands magasins</t>
  </si>
  <si>
    <t>ANALYSE DES CHARGES INDIRECTES PAR INDUCTEUR</t>
  </si>
  <si>
    <t>Nbre d'inducteur</t>
  </si>
  <si>
    <t xml:space="preserve">COUT INDIRECT </t>
  </si>
  <si>
    <t>B1  50000 unités</t>
  </si>
  <si>
    <t>B5  10000 unités</t>
  </si>
  <si>
    <t>COUT INDIRECT</t>
  </si>
  <si>
    <t>COUT DE REVIENT  ABC</t>
  </si>
  <si>
    <t>Pour Rappel : COUT DE REVIENT Centres d'Analyse</t>
  </si>
  <si>
    <t>Questions 4 &amp; 5</t>
  </si>
  <si>
    <t>Nbre d'inducteurs (183 - 100 + 10) = 93</t>
  </si>
  <si>
    <t>Nombre de lots mis en fabrication  - AVANT</t>
  </si>
  <si>
    <t>Nombre de lots mis en fabrication APRES</t>
  </si>
  <si>
    <t xml:space="preserve">Différence de coût </t>
  </si>
  <si>
    <t>CUO (Chg Ind / Nbre UO)</t>
  </si>
  <si>
    <t>COUT DE REVIENT (méthode centres d'analyses)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</si>
</sst>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6" formatCode="#,##0.00\ &quot;€&quot;"/>
    <numFmt numFmtId="167" formatCode="0.0000"/>
    <numFmt numFmtId="168" formatCode="#,##0.0000\ &quot;€&quot;"/>
    <numFmt numFmtId="169" formatCode="_-* #,##0.00\ &quot;€&quot;_-;\-* #,##0.00\ &quot;€&quot;_-;_-* &quot;-&quot;????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1" xfId="0" applyFill="1" applyBorder="1"/>
    <xf numFmtId="44" fontId="0" fillId="0" borderId="1" xfId="1" applyFont="1" applyBorder="1"/>
    <xf numFmtId="44" fontId="0" fillId="0" borderId="1" xfId="0" applyNumberFormat="1" applyBorder="1"/>
    <xf numFmtId="0" fontId="2" fillId="0" borderId="1" xfId="0" applyFont="1" applyBorder="1"/>
    <xf numFmtId="44" fontId="2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/>
    <xf numFmtId="1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/>
    <xf numFmtId="166" fontId="0" fillId="2" borderId="1" xfId="0" applyNumberFormat="1" applyFill="1" applyBorder="1"/>
    <xf numFmtId="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/>
    <xf numFmtId="166" fontId="2" fillId="0" borderId="1" xfId="0" applyNumberFormat="1" applyFont="1" applyBorder="1"/>
    <xf numFmtId="167" fontId="0" fillId="0" borderId="1" xfId="0" applyNumberFormat="1" applyBorder="1"/>
    <xf numFmtId="0" fontId="0" fillId="0" borderId="5" xfId="0" applyBorder="1"/>
    <xf numFmtId="167" fontId="0" fillId="0" borderId="5" xfId="0" applyNumberFormat="1" applyBorder="1"/>
    <xf numFmtId="168" fontId="0" fillId="0" borderId="1" xfId="0" applyNumberFormat="1" applyBorder="1"/>
    <xf numFmtId="44" fontId="0" fillId="0" borderId="0" xfId="0" applyNumberFormat="1"/>
    <xf numFmtId="2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1" fontId="0" fillId="2" borderId="1" xfId="0" applyNumberForma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 wrapText="1"/>
    </xf>
    <xf numFmtId="169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44" fontId="2" fillId="0" borderId="1" xfId="1" applyFont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 wrapText="1"/>
    </xf>
    <xf numFmtId="164" fontId="0" fillId="0" borderId="1" xfId="1" applyNumberFormat="1" applyFont="1" applyBorder="1"/>
    <xf numFmtId="166" fontId="0" fillId="0" borderId="1" xfId="0" applyNumberFormat="1" applyFill="1" applyBorder="1" applyAlignment="1">
      <alignment horizontal="center"/>
    </xf>
    <xf numFmtId="168" fontId="0" fillId="0" borderId="1" xfId="0" applyNumberFormat="1" applyFill="1" applyBorder="1"/>
    <xf numFmtId="166" fontId="0" fillId="0" borderId="1" xfId="0" applyNumberFormat="1" applyFill="1" applyBorder="1"/>
    <xf numFmtId="44" fontId="0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4" fontId="0" fillId="0" borderId="1" xfId="0" applyNumberForma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ercice%20compl&#233;mentaire%20m&#233;thode%20ABC%20Corrig&#233;%20en%20glob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Feuil4"/>
    </sheetNames>
    <sheetDataSet>
      <sheetData sheetId="0">
        <row r="9">
          <cell r="C9">
            <v>6</v>
          </cell>
        </row>
        <row r="10">
          <cell r="C10">
            <v>183</v>
          </cell>
        </row>
      </sheetData>
      <sheetData sheetId="1">
        <row r="16">
          <cell r="G16">
            <v>24000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0"/>
  <sheetViews>
    <sheetView showGridLines="0" tabSelected="1" zoomScale="150" zoomScaleNormal="150" workbookViewId="0">
      <selection activeCell="A83" sqref="A83"/>
    </sheetView>
  </sheetViews>
  <sheetFormatPr baseColWidth="10" defaultRowHeight="15" x14ac:dyDescent="0.25"/>
  <cols>
    <col min="1" max="1" width="44.7109375" bestFit="1" customWidth="1"/>
    <col min="2" max="2" width="15.5703125" customWidth="1"/>
    <col min="3" max="3" width="13.28515625" customWidth="1"/>
    <col min="4" max="4" width="14.140625" customWidth="1"/>
    <col min="5" max="5" width="15.42578125" bestFit="1" customWidth="1"/>
    <col min="6" max="6" width="13.5703125" customWidth="1"/>
    <col min="7" max="7" width="17.140625" bestFit="1" customWidth="1"/>
  </cols>
  <sheetData>
    <row r="1" spans="1:7" x14ac:dyDescent="0.25">
      <c r="A1" s="11" t="s">
        <v>10</v>
      </c>
    </row>
    <row r="2" spans="1:7" x14ac:dyDescent="0.25">
      <c r="A2" s="43" t="s">
        <v>11</v>
      </c>
      <c r="B2" s="43"/>
      <c r="C2" s="43"/>
      <c r="D2" s="43"/>
      <c r="E2" s="43"/>
      <c r="F2" s="43"/>
      <c r="G2" s="43"/>
    </row>
    <row r="3" spans="1:7" x14ac:dyDescent="0.25">
      <c r="A3" s="1"/>
      <c r="B3" s="42" t="s">
        <v>12</v>
      </c>
      <c r="C3" s="42"/>
      <c r="D3" s="42"/>
      <c r="E3" s="42" t="s">
        <v>13</v>
      </c>
      <c r="F3" s="42"/>
      <c r="G3" s="42"/>
    </row>
    <row r="4" spans="1:7" x14ac:dyDescent="0.25">
      <c r="A4" s="1"/>
      <c r="B4" s="7" t="s">
        <v>3</v>
      </c>
      <c r="C4" s="7" t="s">
        <v>4</v>
      </c>
      <c r="D4" s="7" t="s">
        <v>5</v>
      </c>
      <c r="E4" s="7" t="s">
        <v>3</v>
      </c>
      <c r="F4" s="7" t="s">
        <v>4</v>
      </c>
      <c r="G4" s="7" t="s">
        <v>5</v>
      </c>
    </row>
    <row r="5" spans="1:7" ht="20.45" customHeight="1" x14ac:dyDescent="0.25">
      <c r="A5" s="1" t="s">
        <v>14</v>
      </c>
      <c r="B5" s="49">
        <v>50000</v>
      </c>
      <c r="C5" s="13">
        <v>25</v>
      </c>
      <c r="D5" s="14">
        <f>B5*C5</f>
        <v>1250000</v>
      </c>
      <c r="E5" s="50">
        <v>10000</v>
      </c>
      <c r="F5" s="13">
        <v>40</v>
      </c>
      <c r="G5" s="14">
        <f>E5*F5</f>
        <v>400000</v>
      </c>
    </row>
    <row r="6" spans="1:7" ht="20.45" customHeight="1" x14ac:dyDescent="0.25">
      <c r="A6" s="1" t="s">
        <v>15</v>
      </c>
      <c r="B6" s="16">
        <f>6.5/60*50000</f>
        <v>5416.666666666667</v>
      </c>
      <c r="C6" s="13">
        <v>23</v>
      </c>
      <c r="D6" s="13">
        <f>B6*C6</f>
        <v>124583.33333333334</v>
      </c>
      <c r="E6" s="16">
        <f>10/60*10000</f>
        <v>1666.6666666666665</v>
      </c>
      <c r="F6" s="13">
        <v>23</v>
      </c>
      <c r="G6" s="13">
        <f>E6*F6</f>
        <v>38333.333333333328</v>
      </c>
    </row>
    <row r="7" spans="1:7" ht="20.45" customHeight="1" x14ac:dyDescent="0.25">
      <c r="A7" s="5" t="s">
        <v>11</v>
      </c>
      <c r="B7" s="5">
        <v>50000</v>
      </c>
      <c r="C7" s="17">
        <f>D7/B7</f>
        <v>27.491666666666664</v>
      </c>
      <c r="D7" s="17">
        <f>D5+D6</f>
        <v>1374583.3333333333</v>
      </c>
      <c r="E7" s="5">
        <v>10000</v>
      </c>
      <c r="F7" s="17">
        <f>G7/E7</f>
        <v>43.833333333333329</v>
      </c>
      <c r="G7" s="17">
        <f>G5+G6</f>
        <v>438333.33333333331</v>
      </c>
    </row>
    <row r="16" spans="1:7" x14ac:dyDescent="0.25">
      <c r="A16" s="1"/>
      <c r="B16" s="8" t="s">
        <v>16</v>
      </c>
      <c r="C16" s="8" t="s">
        <v>8</v>
      </c>
      <c r="D16" s="8" t="s">
        <v>17</v>
      </c>
      <c r="E16" s="10" t="s">
        <v>6</v>
      </c>
    </row>
    <row r="17" spans="1:7" x14ac:dyDescent="0.25">
      <c r="A17" s="1" t="s">
        <v>9</v>
      </c>
      <c r="B17" s="1">
        <v>987980</v>
      </c>
      <c r="C17" s="1">
        <v>3735540</v>
      </c>
      <c r="D17" s="1">
        <v>283500</v>
      </c>
      <c r="E17" s="51">
        <f>SUM(B17:D17)</f>
        <v>5007020</v>
      </c>
    </row>
    <row r="18" spans="1:7" x14ac:dyDescent="0.25">
      <c r="A18" s="1" t="s">
        <v>18</v>
      </c>
      <c r="B18" s="1">
        <f>(25*50000)+(38000*24)+(30*30000)+(24000*33)+(40*10000)</f>
        <v>4254000</v>
      </c>
      <c r="C18" s="1">
        <f>50000+38000+30000+24000+10000</f>
        <v>152000</v>
      </c>
      <c r="D18" s="1">
        <f>C18</f>
        <v>152000</v>
      </c>
    </row>
    <row r="19" spans="1:7" x14ac:dyDescent="0.25">
      <c r="A19" s="1" t="s">
        <v>53</v>
      </c>
      <c r="B19" s="18">
        <f>B17/B18</f>
        <v>0.2322472966619652</v>
      </c>
      <c r="C19" s="18">
        <f t="shared" ref="C19:D19" si="0">C17/C18</f>
        <v>24.575921052631578</v>
      </c>
      <c r="D19" s="18">
        <f t="shared" si="0"/>
        <v>1.8651315789473684</v>
      </c>
    </row>
    <row r="20" spans="1:7" ht="8.4499999999999993" customHeight="1" x14ac:dyDescent="0.25">
      <c r="A20" s="19"/>
      <c r="B20" s="20"/>
      <c r="C20" s="20"/>
      <c r="D20" s="20"/>
    </row>
    <row r="21" spans="1:7" ht="15" customHeight="1" x14ac:dyDescent="0.25">
      <c r="A21" s="43" t="s">
        <v>7</v>
      </c>
      <c r="B21" s="43"/>
      <c r="C21" s="43"/>
      <c r="D21" s="43"/>
      <c r="E21" s="43"/>
      <c r="F21" s="43"/>
      <c r="G21" s="43"/>
    </row>
    <row r="22" spans="1:7" x14ac:dyDescent="0.25">
      <c r="A22" s="1"/>
      <c r="B22" s="42" t="s">
        <v>12</v>
      </c>
      <c r="C22" s="42"/>
      <c r="D22" s="42"/>
      <c r="E22" s="42" t="s">
        <v>13</v>
      </c>
      <c r="F22" s="42"/>
      <c r="G22" s="42"/>
    </row>
    <row r="23" spans="1:7" x14ac:dyDescent="0.25">
      <c r="A23" s="1"/>
      <c r="B23" s="7" t="s">
        <v>3</v>
      </c>
      <c r="C23" s="7" t="s">
        <v>4</v>
      </c>
      <c r="D23" s="7" t="s">
        <v>5</v>
      </c>
      <c r="E23" s="7" t="s">
        <v>3</v>
      </c>
      <c r="F23" s="7" t="s">
        <v>4</v>
      </c>
      <c r="G23" s="7" t="s">
        <v>5</v>
      </c>
    </row>
    <row r="24" spans="1:7" x14ac:dyDescent="0.25">
      <c r="A24" s="1" t="s">
        <v>11</v>
      </c>
      <c r="B24" s="12"/>
      <c r="C24" s="13"/>
      <c r="D24" s="13">
        <f>+D7</f>
        <v>1374583.3333333333</v>
      </c>
      <c r="E24" s="15"/>
      <c r="F24" s="13"/>
      <c r="G24" s="13">
        <f>+G7</f>
        <v>438333.33333333331</v>
      </c>
    </row>
    <row r="25" spans="1:7" x14ac:dyDescent="0.25">
      <c r="A25" s="1" t="s">
        <v>19</v>
      </c>
      <c r="B25" s="52">
        <f>D5</f>
        <v>1250000</v>
      </c>
      <c r="C25" s="53">
        <f>B19</f>
        <v>0.2322472966619652</v>
      </c>
      <c r="D25" s="54">
        <f>B25*C25</f>
        <v>290309.12082745647</v>
      </c>
      <c r="E25" s="52">
        <f>G5</f>
        <v>400000</v>
      </c>
      <c r="F25" s="21">
        <f>C25</f>
        <v>0.2322472966619652</v>
      </c>
      <c r="G25" s="13">
        <f>E25*F25</f>
        <v>92898.918664786077</v>
      </c>
    </row>
    <row r="26" spans="1:7" x14ac:dyDescent="0.25">
      <c r="A26" s="1" t="s">
        <v>20</v>
      </c>
      <c r="B26" s="8">
        <v>50000</v>
      </c>
      <c r="C26" s="21">
        <f>C19</f>
        <v>24.575921052631578</v>
      </c>
      <c r="D26" s="13">
        <f t="shared" ref="D26:D27" si="1">B26*C26</f>
        <v>1228796.0526315789</v>
      </c>
      <c r="E26" s="8">
        <v>10000</v>
      </c>
      <c r="F26" s="21">
        <f t="shared" ref="F26:F27" si="2">C26</f>
        <v>24.575921052631578</v>
      </c>
      <c r="G26" s="13">
        <f t="shared" ref="G26:G27" si="3">E26*F26</f>
        <v>245759.21052631579</v>
      </c>
    </row>
    <row r="27" spans="1:7" x14ac:dyDescent="0.25">
      <c r="A27" s="1" t="s">
        <v>21</v>
      </c>
      <c r="B27" s="8">
        <v>50000</v>
      </c>
      <c r="C27" s="21">
        <f>D19</f>
        <v>1.8651315789473684</v>
      </c>
      <c r="D27" s="13">
        <f t="shared" si="1"/>
        <v>93256.578947368413</v>
      </c>
      <c r="E27" s="8">
        <v>10000</v>
      </c>
      <c r="F27" s="21">
        <f t="shared" si="2"/>
        <v>1.8651315789473684</v>
      </c>
      <c r="G27" s="13">
        <f t="shared" si="3"/>
        <v>18651.315789473683</v>
      </c>
    </row>
    <row r="28" spans="1:7" x14ac:dyDescent="0.25">
      <c r="A28" s="5" t="s">
        <v>54</v>
      </c>
      <c r="B28" s="9">
        <v>50000</v>
      </c>
      <c r="C28" s="17">
        <f>D28/B28</f>
        <v>59.738901714794736</v>
      </c>
      <c r="D28" s="17">
        <f>SUM(D24:D27)</f>
        <v>2986945.0857397369</v>
      </c>
      <c r="E28" s="9">
        <v>10000</v>
      </c>
      <c r="F28" s="17">
        <f>G28/E28</f>
        <v>79.564277831390896</v>
      </c>
      <c r="G28" s="17">
        <f>SUM(G24:G27)</f>
        <v>795642.77831390896</v>
      </c>
    </row>
    <row r="29" spans="1:7" ht="10.15" customHeight="1" x14ac:dyDescent="0.25"/>
    <row r="30" spans="1:7" ht="23.45" customHeight="1" x14ac:dyDescent="0.25">
      <c r="A30" s="11" t="s">
        <v>22</v>
      </c>
    </row>
    <row r="31" spans="1:7" ht="23.45" customHeight="1" x14ac:dyDescent="0.25">
      <c r="A31" s="43" t="s">
        <v>23</v>
      </c>
      <c r="B31" s="43"/>
      <c r="C31" s="43"/>
      <c r="D31" s="43"/>
      <c r="E31" s="43"/>
      <c r="F31" s="43"/>
      <c r="G31" s="43"/>
    </row>
    <row r="32" spans="1:7" ht="23.45" customHeight="1" x14ac:dyDescent="0.25">
      <c r="A32" s="5" t="s">
        <v>1</v>
      </c>
      <c r="B32" s="41" t="s">
        <v>24</v>
      </c>
      <c r="C32" s="41"/>
      <c r="D32" s="44" t="s">
        <v>0</v>
      </c>
      <c r="E32" s="45"/>
      <c r="F32" s="46"/>
      <c r="G32" s="5" t="s">
        <v>25</v>
      </c>
    </row>
    <row r="33" spans="1:11" ht="23.45" customHeight="1" x14ac:dyDescent="0.25">
      <c r="A33" s="2" t="s">
        <v>26</v>
      </c>
      <c r="B33" s="55">
        <v>347000</v>
      </c>
      <c r="C33" s="55"/>
      <c r="D33" s="56" t="s">
        <v>27</v>
      </c>
      <c r="E33" s="56"/>
      <c r="F33" s="56"/>
      <c r="G33" s="2">
        <f>[1]Feuil1!C9</f>
        <v>6</v>
      </c>
    </row>
    <row r="34" spans="1:11" ht="23.45" customHeight="1" x14ac:dyDescent="0.25">
      <c r="A34" s="39" t="s">
        <v>28</v>
      </c>
      <c r="B34" s="57">
        <v>444200</v>
      </c>
      <c r="C34" s="57"/>
      <c r="D34" s="58" t="s">
        <v>29</v>
      </c>
      <c r="E34" s="58"/>
      <c r="F34" s="58"/>
      <c r="G34" s="39">
        <f>[1]Feuil1!C10</f>
        <v>183</v>
      </c>
    </row>
    <row r="35" spans="1:11" x14ac:dyDescent="0.25">
      <c r="A35" s="2" t="s">
        <v>30</v>
      </c>
      <c r="B35" s="55">
        <v>395000</v>
      </c>
      <c r="C35" s="55"/>
      <c r="D35" s="56" t="s">
        <v>31</v>
      </c>
      <c r="E35" s="56"/>
      <c r="F35" s="56"/>
      <c r="G35" s="2">
        <v>5</v>
      </c>
    </row>
    <row r="36" spans="1:11" x14ac:dyDescent="0.25">
      <c r="A36" s="2" t="s">
        <v>32</v>
      </c>
      <c r="B36" s="55">
        <v>96000</v>
      </c>
      <c r="C36" s="55"/>
      <c r="D36" s="56" t="s">
        <v>29</v>
      </c>
      <c r="E36" s="56"/>
      <c r="F36" s="56"/>
      <c r="G36" s="2">
        <f>G34</f>
        <v>183</v>
      </c>
    </row>
    <row r="37" spans="1:11" x14ac:dyDescent="0.25">
      <c r="A37" s="2" t="s">
        <v>33</v>
      </c>
      <c r="B37" s="55">
        <v>3195340</v>
      </c>
      <c r="C37" s="55"/>
      <c r="D37" s="56" t="s">
        <v>34</v>
      </c>
      <c r="E37" s="56"/>
      <c r="F37" s="56"/>
      <c r="G37" s="2">
        <f>[1]Feuil2!G16</f>
        <v>24000</v>
      </c>
    </row>
    <row r="38" spans="1:11" x14ac:dyDescent="0.25">
      <c r="A38" s="2" t="s">
        <v>35</v>
      </c>
      <c r="B38" s="55">
        <v>245980</v>
      </c>
      <c r="C38" s="55"/>
      <c r="D38" s="56" t="s">
        <v>27</v>
      </c>
      <c r="E38" s="56"/>
      <c r="F38" s="56"/>
      <c r="G38" s="2">
        <f>G33</f>
        <v>6</v>
      </c>
    </row>
    <row r="39" spans="1:11" ht="22.9" customHeight="1" x14ac:dyDescent="0.25">
      <c r="A39" s="2" t="s">
        <v>36</v>
      </c>
      <c r="B39" s="55">
        <v>198000</v>
      </c>
      <c r="C39" s="55"/>
      <c r="D39" s="56" t="s">
        <v>37</v>
      </c>
      <c r="E39" s="56"/>
      <c r="F39" s="56"/>
      <c r="G39" s="2">
        <f>30000+24000+10000</f>
        <v>64000</v>
      </c>
    </row>
    <row r="40" spans="1:11" ht="22.9" customHeight="1" x14ac:dyDescent="0.25">
      <c r="A40" s="2" t="s">
        <v>38</v>
      </c>
      <c r="B40" s="55">
        <v>85500</v>
      </c>
      <c r="C40" s="55"/>
      <c r="D40" s="56" t="s">
        <v>39</v>
      </c>
      <c r="E40" s="56"/>
      <c r="F40" s="56"/>
      <c r="G40" s="2">
        <v>29</v>
      </c>
    </row>
    <row r="41" spans="1:11" ht="22.9" customHeight="1" x14ac:dyDescent="0.25">
      <c r="C41" s="22"/>
      <c r="J41" s="22"/>
      <c r="K41" s="22"/>
    </row>
    <row r="42" spans="1:11" ht="22.9" customHeight="1" x14ac:dyDescent="0.25">
      <c r="A42" s="43" t="s">
        <v>40</v>
      </c>
      <c r="B42" s="43"/>
      <c r="C42" s="43"/>
      <c r="D42" s="43"/>
      <c r="E42" s="43"/>
      <c r="F42" s="43"/>
      <c r="G42" s="43"/>
    </row>
    <row r="43" spans="1:11" ht="22.9" customHeight="1" x14ac:dyDescent="0.25">
      <c r="A43" s="5" t="s">
        <v>0</v>
      </c>
      <c r="B43" s="41" t="s">
        <v>24</v>
      </c>
      <c r="C43" s="41"/>
      <c r="D43" s="44" t="s">
        <v>41</v>
      </c>
      <c r="E43" s="45"/>
      <c r="F43" s="46"/>
      <c r="G43" s="5" t="s">
        <v>2</v>
      </c>
    </row>
    <row r="44" spans="1:11" x14ac:dyDescent="0.25">
      <c r="A44" s="2" t="str">
        <f>D33</f>
        <v>Nombre de références matières premières</v>
      </c>
      <c r="B44" s="55">
        <f>B33+B38</f>
        <v>592980</v>
      </c>
      <c r="C44" s="55"/>
      <c r="D44" s="56">
        <f>G33</f>
        <v>6</v>
      </c>
      <c r="E44" s="56"/>
      <c r="F44" s="56"/>
      <c r="G44" s="59">
        <f>B44/D44</f>
        <v>98830</v>
      </c>
    </row>
    <row r="45" spans="1:11" x14ac:dyDescent="0.25">
      <c r="A45" s="2" t="str">
        <f>D34</f>
        <v>Nombre de lots mis en fabrication</v>
      </c>
      <c r="B45" s="55">
        <f>B34+B36</f>
        <v>540200</v>
      </c>
      <c r="C45" s="55"/>
      <c r="D45" s="56">
        <f>G34</f>
        <v>183</v>
      </c>
      <c r="E45" s="56"/>
      <c r="F45" s="56"/>
      <c r="G45" s="59">
        <f>B45/D45</f>
        <v>2951.9125683060111</v>
      </c>
    </row>
    <row r="46" spans="1:11" x14ac:dyDescent="0.25">
      <c r="A46" s="2" t="str">
        <f>D35</f>
        <v>Nombre de modèles</v>
      </c>
      <c r="B46" s="55">
        <f>B35</f>
        <v>395000</v>
      </c>
      <c r="C46" s="55"/>
      <c r="D46" s="56">
        <f>G35</f>
        <v>5</v>
      </c>
      <c r="E46" s="56"/>
      <c r="F46" s="56"/>
      <c r="G46" s="59">
        <f>B46/D46</f>
        <v>79000</v>
      </c>
    </row>
    <row r="47" spans="1:11" x14ac:dyDescent="0.25">
      <c r="A47" s="2" t="str">
        <f>D37</f>
        <v>Nombre d'heures</v>
      </c>
      <c r="B47" s="55">
        <f>B37</f>
        <v>3195340</v>
      </c>
      <c r="C47" s="55"/>
      <c r="D47" s="56">
        <f>G37</f>
        <v>24000</v>
      </c>
      <c r="E47" s="56"/>
      <c r="F47" s="56"/>
      <c r="G47" s="59">
        <f>B47/D47</f>
        <v>133.13916666666665</v>
      </c>
    </row>
    <row r="48" spans="1:11" ht="22.9" customHeight="1" x14ac:dyDescent="0.25">
      <c r="A48" s="2" t="str">
        <f>D39</f>
        <v>Nombre de produits pour les magasins spécialisés</v>
      </c>
      <c r="B48" s="55">
        <f>B39</f>
        <v>198000</v>
      </c>
      <c r="C48" s="55"/>
      <c r="D48" s="56">
        <f>G39</f>
        <v>64000</v>
      </c>
      <c r="E48" s="56"/>
      <c r="F48" s="56"/>
      <c r="G48" s="59">
        <f t="shared" ref="G48:G49" si="4">B48/D48</f>
        <v>3.09375</v>
      </c>
    </row>
    <row r="49" spans="1:7" ht="22.9" customHeight="1" x14ac:dyDescent="0.25">
      <c r="A49" s="2" t="str">
        <f>D40</f>
        <v>Nombre de lots pour les grands magasins</v>
      </c>
      <c r="B49" s="55">
        <f>B40</f>
        <v>85500</v>
      </c>
      <c r="C49" s="55"/>
      <c r="D49" s="56">
        <f>G40</f>
        <v>29</v>
      </c>
      <c r="E49" s="56"/>
      <c r="F49" s="56"/>
      <c r="G49" s="59">
        <f t="shared" si="4"/>
        <v>2948.2758620689656</v>
      </c>
    </row>
    <row r="50" spans="1:7" ht="22.9" customHeight="1" x14ac:dyDescent="0.25"/>
    <row r="51" spans="1:7" ht="22.9" customHeight="1" x14ac:dyDescent="0.25">
      <c r="A51" s="43" t="s">
        <v>42</v>
      </c>
      <c r="B51" s="43"/>
      <c r="C51" s="43"/>
      <c r="D51" s="43"/>
      <c r="E51" s="43"/>
      <c r="F51" s="43"/>
      <c r="G51" s="43"/>
    </row>
    <row r="52" spans="1:7" ht="22.9" customHeight="1" x14ac:dyDescent="0.25">
      <c r="A52" s="1"/>
      <c r="B52" s="42" t="s">
        <v>43</v>
      </c>
      <c r="C52" s="42"/>
      <c r="D52" s="42"/>
      <c r="E52" s="42" t="s">
        <v>44</v>
      </c>
      <c r="F52" s="42"/>
      <c r="G52" s="42"/>
    </row>
    <row r="53" spans="1:7" ht="22.9" customHeight="1" x14ac:dyDescent="0.25">
      <c r="A53" s="1" t="s">
        <v>0</v>
      </c>
      <c r="B53" s="7" t="s">
        <v>3</v>
      </c>
      <c r="C53" s="7" t="s">
        <v>4</v>
      </c>
      <c r="D53" s="7" t="s">
        <v>5</v>
      </c>
      <c r="E53" s="7" t="s">
        <v>3</v>
      </c>
      <c r="F53" s="7" t="s">
        <v>4</v>
      </c>
      <c r="G53" s="7" t="s">
        <v>5</v>
      </c>
    </row>
    <row r="54" spans="1:7" ht="22.9" customHeight="1" x14ac:dyDescent="0.25">
      <c r="A54" s="1" t="str">
        <f>A44</f>
        <v>Nombre de références matières premières</v>
      </c>
      <c r="B54" s="23">
        <f>(0.2+0.2+0.25)</f>
        <v>0.65</v>
      </c>
      <c r="C54" s="24">
        <f>G44</f>
        <v>98830</v>
      </c>
      <c r="D54" s="25">
        <f>B54*C54</f>
        <v>64239.5</v>
      </c>
      <c r="E54" s="7">
        <f>(0.2+0.2+0.25+0.33+0.5+1)</f>
        <v>2.48</v>
      </c>
      <c r="F54" s="24">
        <f>C54</f>
        <v>98830</v>
      </c>
      <c r="G54" s="24">
        <f>E54*F54</f>
        <v>245098.4</v>
      </c>
    </row>
    <row r="55" spans="1:7" x14ac:dyDescent="0.25">
      <c r="A55" s="1" t="str">
        <f t="shared" ref="A55:A59" si="5">A45</f>
        <v>Nombre de lots mis en fabrication</v>
      </c>
      <c r="B55" s="23">
        <v>10</v>
      </c>
      <c r="C55" s="24">
        <f t="shared" ref="C55:C59" si="6">G45</f>
        <v>2951.9125683060111</v>
      </c>
      <c r="D55" s="25">
        <f t="shared" ref="D55:D59" si="7">B55*C55</f>
        <v>29519.125683060112</v>
      </c>
      <c r="E55" s="7">
        <v>100</v>
      </c>
      <c r="F55" s="24">
        <f t="shared" ref="F55:F59" si="8">C55</f>
        <v>2951.9125683060111</v>
      </c>
      <c r="G55" s="24">
        <f t="shared" ref="G55:G59" si="9">E55*F55</f>
        <v>295191.25683060108</v>
      </c>
    </row>
    <row r="56" spans="1:7" x14ac:dyDescent="0.25">
      <c r="A56" s="1" t="str">
        <f t="shared" si="5"/>
        <v>Nombre de modèles</v>
      </c>
      <c r="B56" s="23">
        <f>1</f>
        <v>1</v>
      </c>
      <c r="C56" s="24">
        <f t="shared" si="6"/>
        <v>79000</v>
      </c>
      <c r="D56" s="25">
        <f t="shared" si="7"/>
        <v>79000</v>
      </c>
      <c r="E56" s="7">
        <v>1</v>
      </c>
      <c r="F56" s="24">
        <f t="shared" si="8"/>
        <v>79000</v>
      </c>
      <c r="G56" s="24">
        <f t="shared" si="9"/>
        <v>79000</v>
      </c>
    </row>
    <row r="57" spans="1:7" x14ac:dyDescent="0.25">
      <c r="A57" s="1" t="str">
        <f t="shared" si="5"/>
        <v>Nombre d'heures</v>
      </c>
      <c r="B57" s="23">
        <f>B6</f>
        <v>5416.666666666667</v>
      </c>
      <c r="C57" s="24">
        <f t="shared" si="6"/>
        <v>133.13916666666665</v>
      </c>
      <c r="D57" s="25">
        <f t="shared" si="7"/>
        <v>721170.48611111112</v>
      </c>
      <c r="E57" s="7">
        <f>E6</f>
        <v>1666.6666666666665</v>
      </c>
      <c r="F57" s="24">
        <f t="shared" si="8"/>
        <v>133.13916666666665</v>
      </c>
      <c r="G57" s="24">
        <f t="shared" si="9"/>
        <v>221898.61111111107</v>
      </c>
    </row>
    <row r="58" spans="1:7" x14ac:dyDescent="0.25">
      <c r="A58" s="1" t="str">
        <f t="shared" si="5"/>
        <v>Nombre de produits pour les magasins spécialisés</v>
      </c>
      <c r="B58" s="23">
        <v>0</v>
      </c>
      <c r="C58" s="24">
        <f t="shared" si="6"/>
        <v>3.09375</v>
      </c>
      <c r="D58" s="25">
        <f t="shared" si="7"/>
        <v>0</v>
      </c>
      <c r="E58" s="7">
        <v>10000</v>
      </c>
      <c r="F58" s="24">
        <f t="shared" si="8"/>
        <v>3.09375</v>
      </c>
      <c r="G58" s="24">
        <f t="shared" si="9"/>
        <v>30937.5</v>
      </c>
    </row>
    <row r="59" spans="1:7" x14ac:dyDescent="0.25">
      <c r="A59" s="1" t="str">
        <f t="shared" si="5"/>
        <v>Nombre de lots pour les grands magasins</v>
      </c>
      <c r="B59" s="23">
        <f>10</f>
        <v>10</v>
      </c>
      <c r="C59" s="24">
        <f t="shared" si="6"/>
        <v>2948.2758620689656</v>
      </c>
      <c r="D59" s="25">
        <f t="shared" si="7"/>
        <v>29482.758620689656</v>
      </c>
      <c r="E59" s="7">
        <v>0</v>
      </c>
      <c r="F59" s="24">
        <f t="shared" si="8"/>
        <v>2948.2758620689656</v>
      </c>
      <c r="G59" s="24">
        <f t="shared" si="9"/>
        <v>0</v>
      </c>
    </row>
    <row r="60" spans="1:7" x14ac:dyDescent="0.25">
      <c r="A60" s="5" t="s">
        <v>45</v>
      </c>
      <c r="B60" s="9">
        <v>50000</v>
      </c>
      <c r="C60" s="17">
        <f>D60/B60</f>
        <v>18.468237408297217</v>
      </c>
      <c r="D60" s="17">
        <f>SUM(D54:D59)</f>
        <v>923411.8704148609</v>
      </c>
      <c r="E60" s="9">
        <v>10000</v>
      </c>
      <c r="F60" s="17">
        <f>G60/E60</f>
        <v>87.212576794171213</v>
      </c>
      <c r="G60" s="17">
        <f>SUM(G54:G59)</f>
        <v>872125.76794171217</v>
      </c>
    </row>
    <row r="62" spans="1:7" x14ac:dyDescent="0.25">
      <c r="A62" s="43" t="s">
        <v>7</v>
      </c>
      <c r="B62" s="43"/>
      <c r="C62" s="43"/>
      <c r="D62" s="43"/>
      <c r="E62" s="43"/>
      <c r="F62" s="43"/>
      <c r="G62" s="43"/>
    </row>
    <row r="63" spans="1:7" x14ac:dyDescent="0.25">
      <c r="A63" s="1"/>
      <c r="B63" s="42" t="s">
        <v>12</v>
      </c>
      <c r="C63" s="42"/>
      <c r="D63" s="42"/>
      <c r="E63" s="42" t="s">
        <v>13</v>
      </c>
      <c r="F63" s="42"/>
      <c r="G63" s="42"/>
    </row>
    <row r="64" spans="1:7" x14ac:dyDescent="0.25">
      <c r="A64" s="1"/>
      <c r="B64" s="7" t="s">
        <v>3</v>
      </c>
      <c r="C64" s="7" t="s">
        <v>4</v>
      </c>
      <c r="D64" s="7" t="s">
        <v>5</v>
      </c>
      <c r="E64" s="7" t="s">
        <v>3</v>
      </c>
      <c r="F64" s="7" t="s">
        <v>4</v>
      </c>
      <c r="G64" s="7" t="s">
        <v>5</v>
      </c>
    </row>
    <row r="65" spans="1:7" x14ac:dyDescent="0.25">
      <c r="A65" s="1" t="s">
        <v>11</v>
      </c>
      <c r="B65" s="12"/>
      <c r="C65" s="13"/>
      <c r="D65" s="13">
        <f>D7</f>
        <v>1374583.3333333333</v>
      </c>
      <c r="E65" s="15"/>
      <c r="F65" s="13"/>
      <c r="G65" s="13">
        <f>G7</f>
        <v>438333.33333333331</v>
      </c>
    </row>
    <row r="66" spans="1:7" x14ac:dyDescent="0.25">
      <c r="A66" s="1" t="s">
        <v>45</v>
      </c>
      <c r="B66" s="1"/>
      <c r="C66" s="13"/>
      <c r="D66" s="13">
        <f>D60</f>
        <v>923411.8704148609</v>
      </c>
      <c r="E66" s="1"/>
      <c r="F66" s="13"/>
      <c r="G66" s="13">
        <f>G60</f>
        <v>872125.76794171217</v>
      </c>
    </row>
    <row r="67" spans="1:7" x14ac:dyDescent="0.25">
      <c r="A67" s="26" t="s">
        <v>46</v>
      </c>
      <c r="B67" s="27">
        <v>50000</v>
      </c>
      <c r="C67" s="28">
        <f>D67/B67</f>
        <v>45.95990407496388</v>
      </c>
      <c r="D67" s="28">
        <f>D65+D66</f>
        <v>2297995.203748194</v>
      </c>
      <c r="E67" s="27">
        <v>10000</v>
      </c>
      <c r="F67" s="28">
        <f>G67/E67</f>
        <v>131.04591012750456</v>
      </c>
      <c r="G67" s="28">
        <f>G65+G66</f>
        <v>1310459.1012750454</v>
      </c>
    </row>
    <row r="68" spans="1:7" x14ac:dyDescent="0.25">
      <c r="A68" s="5" t="s">
        <v>47</v>
      </c>
      <c r="B68" s="9">
        <v>1</v>
      </c>
      <c r="C68" s="17">
        <v>59.738901714794743</v>
      </c>
      <c r="E68" s="9">
        <v>1</v>
      </c>
      <c r="F68" s="17">
        <v>79.564277831390882</v>
      </c>
    </row>
    <row r="69" spans="1:7" x14ac:dyDescent="0.25">
      <c r="A69" s="29"/>
      <c r="B69" s="30"/>
      <c r="C69" s="31"/>
      <c r="D69" s="31"/>
      <c r="E69" s="30"/>
      <c r="F69" s="31"/>
      <c r="G69" s="31"/>
    </row>
    <row r="70" spans="1:7" x14ac:dyDescent="0.25">
      <c r="A70" s="29"/>
      <c r="B70" s="30"/>
      <c r="C70" s="31"/>
      <c r="D70" s="31"/>
      <c r="E70" s="31"/>
      <c r="F70" s="31"/>
      <c r="G70" s="31"/>
    </row>
    <row r="71" spans="1:7" x14ac:dyDescent="0.25">
      <c r="A71" s="11" t="s">
        <v>48</v>
      </c>
      <c r="B71" s="30"/>
      <c r="C71" s="31"/>
      <c r="D71" s="31"/>
      <c r="E71" s="30"/>
      <c r="F71" s="31"/>
      <c r="G71" s="31"/>
    </row>
    <row r="73" spans="1:7" x14ac:dyDescent="0.25">
      <c r="A73" s="5" t="s">
        <v>0</v>
      </c>
      <c r="B73" s="41" t="s">
        <v>24</v>
      </c>
      <c r="C73" s="41"/>
      <c r="D73" s="44" t="s">
        <v>49</v>
      </c>
      <c r="E73" s="45"/>
      <c r="F73" s="46"/>
      <c r="G73" s="5" t="s">
        <v>2</v>
      </c>
    </row>
    <row r="74" spans="1:7" x14ac:dyDescent="0.25">
      <c r="A74" s="1" t="str">
        <f>A45</f>
        <v>Nombre de lots mis en fabrication</v>
      </c>
      <c r="B74" s="47">
        <f>B45</f>
        <v>540200</v>
      </c>
      <c r="C74" s="48"/>
      <c r="D74" s="40">
        <f>183-100+10</f>
        <v>93</v>
      </c>
      <c r="E74" s="40"/>
      <c r="F74" s="40"/>
      <c r="G74" s="4">
        <f>B74/D74</f>
        <v>5808.6021505376348</v>
      </c>
    </row>
    <row r="77" spans="1:7" x14ac:dyDescent="0.25">
      <c r="B77" s="42" t="s">
        <v>12</v>
      </c>
      <c r="C77" s="42"/>
      <c r="D77" s="42"/>
      <c r="E77" s="42" t="s">
        <v>13</v>
      </c>
      <c r="F77" s="42"/>
      <c r="G77" s="42"/>
    </row>
    <row r="78" spans="1:7" x14ac:dyDescent="0.25">
      <c r="A78" s="1" t="s">
        <v>50</v>
      </c>
      <c r="B78" s="32">
        <v>10</v>
      </c>
      <c r="C78" s="33">
        <f>C55</f>
        <v>2951.9125683060111</v>
      </c>
      <c r="D78" s="34">
        <f>B78*C78</f>
        <v>29519.125683060112</v>
      </c>
      <c r="E78" s="35">
        <v>100</v>
      </c>
      <c r="F78" s="36">
        <f t="shared" ref="F78" si="10">C78</f>
        <v>2951.9125683060111</v>
      </c>
      <c r="G78" s="36">
        <f t="shared" ref="G78" si="11">E78*F78</f>
        <v>295191.25683060108</v>
      </c>
    </row>
    <row r="79" spans="1:7" x14ac:dyDescent="0.25">
      <c r="A79" s="1" t="s">
        <v>51</v>
      </c>
      <c r="B79" s="37">
        <v>10</v>
      </c>
      <c r="C79" s="3">
        <f>G74</f>
        <v>5808.6021505376348</v>
      </c>
      <c r="D79" s="3">
        <f>B79*C79</f>
        <v>58086.021505376346</v>
      </c>
      <c r="E79" s="9">
        <v>10</v>
      </c>
      <c r="F79" s="38">
        <f>C79</f>
        <v>5808.6021505376348</v>
      </c>
      <c r="G79" s="38">
        <f>E79*F79</f>
        <v>58086.021505376346</v>
      </c>
    </row>
    <row r="80" spans="1:7" x14ac:dyDescent="0.25">
      <c r="A80" s="1" t="s">
        <v>52</v>
      </c>
      <c r="B80" s="1"/>
      <c r="C80" s="1"/>
      <c r="D80" s="4">
        <f>D78-D79</f>
        <v>-28566.895822316234</v>
      </c>
      <c r="E80" s="5"/>
      <c r="F80" s="5"/>
      <c r="G80" s="6">
        <f>G78-G79</f>
        <v>237105.23532522473</v>
      </c>
    </row>
  </sheetData>
  <mergeCells count="52">
    <mergeCell ref="A2:G2"/>
    <mergeCell ref="B3:D3"/>
    <mergeCell ref="E3:G3"/>
    <mergeCell ref="A21:G21"/>
    <mergeCell ref="B22:D22"/>
    <mergeCell ref="E22:G22"/>
    <mergeCell ref="A31:G31"/>
    <mergeCell ref="B32:C32"/>
    <mergeCell ref="D32:F32"/>
    <mergeCell ref="B33:C33"/>
    <mergeCell ref="D33:F33"/>
    <mergeCell ref="B34:C34"/>
    <mergeCell ref="D34:F34"/>
    <mergeCell ref="B35:C35"/>
    <mergeCell ref="D35:F35"/>
    <mergeCell ref="B36:C36"/>
    <mergeCell ref="D36:F36"/>
    <mergeCell ref="B37:C37"/>
    <mergeCell ref="D37:F37"/>
    <mergeCell ref="B38:C38"/>
    <mergeCell ref="D38:F38"/>
    <mergeCell ref="B39:C39"/>
    <mergeCell ref="D39:F39"/>
    <mergeCell ref="B40:C40"/>
    <mergeCell ref="D40:F40"/>
    <mergeCell ref="A42:G42"/>
    <mergeCell ref="B43:C43"/>
    <mergeCell ref="D43:F43"/>
    <mergeCell ref="B44:C44"/>
    <mergeCell ref="D44:F44"/>
    <mergeCell ref="B45:C45"/>
    <mergeCell ref="D45:F45"/>
    <mergeCell ref="B46:C46"/>
    <mergeCell ref="D46:F46"/>
    <mergeCell ref="B47:C47"/>
    <mergeCell ref="D47:F47"/>
    <mergeCell ref="B48:C48"/>
    <mergeCell ref="D48:F48"/>
    <mergeCell ref="B49:C49"/>
    <mergeCell ref="D49:F49"/>
    <mergeCell ref="A51:G51"/>
    <mergeCell ref="B52:D52"/>
    <mergeCell ref="E52:G52"/>
    <mergeCell ref="B74:C74"/>
    <mergeCell ref="D74:F74"/>
    <mergeCell ref="B77:D77"/>
    <mergeCell ref="E77:G77"/>
    <mergeCell ref="A62:G62"/>
    <mergeCell ref="B63:D63"/>
    <mergeCell ref="E63:G63"/>
    <mergeCell ref="B73:C73"/>
    <mergeCell ref="D73:F7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dcterms:created xsi:type="dcterms:W3CDTF">2018-06-08T06:24:04Z</dcterms:created>
  <dcterms:modified xsi:type="dcterms:W3CDTF">2020-08-05T12:05:16Z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e5f01b5f-9e63-41a3-871a-6cb2f979cff3</vt:lpwstr>
  </property>
</Properties>
</file>