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Cours DUT GEA 2ème année/M41M13 - M41F13/Année 2020 2021/Thème 4 Le centre de profit et le PCI/PCI 2021 2022/"/>
    </mc:Choice>
  </mc:AlternateContent>
  <xr:revisionPtr revIDLastSave="0" documentId="8_{FD2BF28E-C70C-4824-8033-7164E610E7FD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2" l="1"/>
  <c r="B30" i="2" l="1"/>
  <c r="B31" i="2"/>
  <c r="H48" i="2" l="1"/>
  <c r="H49" i="2" s="1"/>
  <c r="G36" i="2"/>
  <c r="D41" i="2"/>
  <c r="C41" i="2"/>
  <c r="C3" i="2"/>
  <c r="B11" i="2" s="1"/>
  <c r="C11" i="2" s="1"/>
  <c r="D52" i="2" l="1"/>
  <c r="C52" i="2"/>
  <c r="D45" i="2"/>
  <c r="B46" i="2"/>
  <c r="C36" i="2"/>
  <c r="B39" i="2" s="1"/>
  <c r="D40" i="2" l="1"/>
  <c r="D42" i="2" s="1"/>
  <c r="C40" i="2"/>
  <c r="C42" i="2" s="1"/>
  <c r="B41" i="2"/>
  <c r="C44" i="2"/>
  <c r="B50" i="2" s="1"/>
  <c r="D51" i="2" s="1"/>
  <c r="D53" i="2" s="1"/>
  <c r="C51" i="2" l="1"/>
  <c r="C53" i="2" s="1"/>
  <c r="B52" i="2"/>
  <c r="D44" i="2"/>
  <c r="D46" i="2" s="1"/>
  <c r="C46" i="2" s="1"/>
  <c r="D31" i="2"/>
  <c r="C31" i="2"/>
  <c r="B51" i="2" l="1"/>
  <c r="B53" i="2" s="1"/>
  <c r="E53" i="2" s="1"/>
  <c r="D30" i="2"/>
  <c r="C30" i="2"/>
  <c r="D5" i="2"/>
  <c r="B36" i="2" s="1"/>
  <c r="D36" i="2" l="1"/>
  <c r="B42" i="2" s="1"/>
  <c r="E42" i="2" s="1"/>
  <c r="E4" i="2"/>
  <c r="E3" i="2"/>
  <c r="E5" i="2" l="1"/>
  <c r="D32" i="2"/>
  <c r="C32" i="2" l="1"/>
  <c r="G5" i="2"/>
  <c r="B32" i="2" l="1"/>
  <c r="E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30" authorId="0" shapeId="0" xr:uid="{25495820-8A5F-455F-8C6A-6A220A08D515}">
      <text>
        <r>
          <rPr>
            <b/>
            <sz val="9"/>
            <color indexed="81"/>
            <rFont val="Tahoma"/>
            <family val="2"/>
          </rPr>
          <t>12000*2+(1*12000)+6000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87E13A92-9487-46F2-8252-3C11D342F63D}">
      <text>
        <r>
          <rPr>
            <b/>
            <sz val="9"/>
            <color indexed="81"/>
            <rFont val="Tahoma"/>
            <family val="2"/>
          </rPr>
          <t>16000*2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" authorId="0" shapeId="0" xr:uid="{89044A21-2853-4DE2-AEE0-A663439C8BE9}">
      <text>
        <r>
          <rPr>
            <b/>
            <sz val="9"/>
            <color indexed="81"/>
            <rFont val="Tahoma"/>
            <family val="2"/>
          </rPr>
          <t>3,80*12000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0" shapeId="0" xr:uid="{D3ED34ED-E11D-4EC4-B5BE-07FE5C60E213}">
      <text>
        <r>
          <rPr>
            <b/>
            <sz val="9"/>
            <color indexed="81"/>
            <rFont val="Tahoma"/>
            <family val="2"/>
          </rPr>
          <t>1,2+(9600/16000)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6" authorId="0" shapeId="0" xr:uid="{3F8566F0-5711-4FDD-915C-84E632542477}">
      <text>
        <r>
          <rPr>
            <b/>
            <sz val="9"/>
            <color indexed="81"/>
            <rFont val="Tahoma"/>
            <family val="2"/>
          </rPr>
          <t>1,80 * 1,30</t>
        </r>
        <r>
          <rPr>
            <sz val="9"/>
            <color indexed="81"/>
            <rFont val="Tahoma"/>
            <family val="2"/>
          </rPr>
          <t xml:space="preserve">
ou (1,80 + (1,80*30%))</t>
        </r>
      </text>
    </comment>
    <comment ref="C40" authorId="0" shapeId="0" xr:uid="{CAD99C43-7343-48CB-9FC1-3486CDF37AAB}">
      <text>
        <r>
          <rPr>
            <b/>
            <sz val="9"/>
            <color indexed="81"/>
            <rFont val="Tahoma"/>
            <family val="2"/>
          </rPr>
          <t>(2,34*12000)+(1*12000)+6000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 xr:uid="{B0CDE1FF-F6AE-4E7E-9AE7-4ED45F3BF73E}">
      <text>
        <r>
          <rPr>
            <b/>
            <sz val="9"/>
            <color indexed="81"/>
            <rFont val="Tahoma"/>
            <family val="2"/>
          </rPr>
          <t>(2,34*4000)+(0,2*4000)+1000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 xr:uid="{9DAA80E6-809B-42CE-BD45-E86AC5013205}">
      <text>
        <r>
          <rPr>
            <b/>
            <sz val="9"/>
            <color indexed="81"/>
            <rFont val="Tahoma"/>
            <family val="2"/>
          </rPr>
          <t>16000*2,34€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 shapeId="0" xr:uid="{B81F5C73-1000-4619-BAAB-D12B1E25A100}">
      <text>
        <r>
          <rPr>
            <b/>
            <sz val="9"/>
            <color indexed="81"/>
            <rFont val="Tahoma"/>
            <family val="2"/>
          </rPr>
          <t xml:space="preserve">(2,015*12000)+(1*12000)+6000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<sst xmlns="http://schemas.openxmlformats.org/spreadsheetml/2006/main" count="42" uniqueCount="23">
  <si>
    <t>TOTAL</t>
  </si>
  <si>
    <t>Repas</t>
  </si>
  <si>
    <t>CV</t>
  </si>
  <si>
    <t>QTE</t>
  </si>
  <si>
    <t>CA</t>
  </si>
  <si>
    <t>RESULTAT</t>
  </si>
  <si>
    <t>MARGES</t>
  </si>
  <si>
    <t>CHARGES F</t>
  </si>
  <si>
    <t>Charges</t>
  </si>
  <si>
    <t>CA Interne</t>
  </si>
  <si>
    <t>Résultat</t>
  </si>
  <si>
    <t>Usine</t>
  </si>
  <si>
    <t>Magasin</t>
  </si>
  <si>
    <t>Production</t>
  </si>
  <si>
    <t>Coût de revient de la production</t>
  </si>
  <si>
    <t>CF</t>
  </si>
  <si>
    <t>COUT DE REVIENT</t>
  </si>
  <si>
    <t>PCI / PV</t>
  </si>
  <si>
    <t xml:space="preserve">CA </t>
  </si>
  <si>
    <t>PCI</t>
  </si>
  <si>
    <t xml:space="preserve">Coût variable </t>
  </si>
  <si>
    <t>PCI (1,55 *1,30)</t>
  </si>
  <si>
    <t>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</si>
</sst>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44" fontId="0" fillId="2" borderId="1" xfId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44" fontId="2" fillId="2" borderId="1" xfId="1" applyNumberFormat="1" applyFont="1" applyFill="1" applyBorder="1"/>
    <xf numFmtId="44" fontId="2" fillId="2" borderId="1" xfId="1" applyFont="1" applyFill="1" applyBorder="1"/>
    <xf numFmtId="44" fontId="5" fillId="2" borderId="1" xfId="1" applyFont="1" applyFill="1" applyBorder="1"/>
    <xf numFmtId="44" fontId="3" fillId="0" borderId="0" xfId="0" applyNumberFormat="1" applyFont="1"/>
    <xf numFmtId="164" fontId="0" fillId="0" borderId="1" xfId="1" applyNumberFormat="1" applyFont="1" applyBorder="1"/>
    <xf numFmtId="0" fontId="0" fillId="2" borderId="0" xfId="0" applyFill="1" applyAlignment="1">
      <alignment horizontal="center"/>
    </xf>
    <xf numFmtId="44" fontId="4" fillId="2" borderId="1" xfId="1" applyFont="1" applyFill="1" applyBorder="1" applyAlignment="1">
      <alignment horizontal="center"/>
    </xf>
    <xf numFmtId="44" fontId="0" fillId="2" borderId="1" xfId="1" applyNumberFormat="1" applyFont="1" applyFill="1" applyBorder="1"/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44" fontId="2" fillId="3" borderId="1" xfId="1" applyFont="1" applyFill="1" applyBorder="1"/>
    <xf numFmtId="44" fontId="8" fillId="2" borderId="0" xfId="0" applyNumberFormat="1" applyFon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846044</xdr:colOff>
      <xdr:row>41</xdr:row>
      <xdr:rowOff>9805</xdr:rowOff>
    </xdr:from>
    <xdr:to>
      <xdr:col>10</xdr:col>
      <xdr:colOff>664509</xdr:colOff>
      <xdr:row>46</xdr:row>
      <xdr:rowOff>94128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D99A3DD-48F7-4A54-ACC9-6C926094BFC6}"/>
            </a:ext>
          </a:extLst>
        </xdr:cNvPr>
        <xdr:cNvSpPr txBox="1"/>
      </xdr:nvSpPr>
      <xdr:spPr>
        <a:xfrm>
          <a:off x="6259886" y="8253132"/>
          <a:ext cx="3320303" cy="102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CV unitaire de production : -0,25€</a:t>
          </a:r>
        </a:p>
        <a:p>
          <a:r>
            <a:rPr lang="fr-FR" sz="1100"/>
            <a:t>Charges dixes de production : +4000€</a:t>
          </a:r>
        </a:p>
        <a:p>
          <a:endParaRPr lang="fr-FR" sz="1100"/>
        </a:p>
        <a:p>
          <a:r>
            <a:rPr lang="fr-FR" sz="1100"/>
            <a:t>Baisse du cout variable :</a:t>
          </a:r>
          <a:r>
            <a:rPr lang="fr-FR" sz="1100" baseline="0"/>
            <a:t> -0,25 * 16000 = -4000€</a:t>
          </a:r>
        </a:p>
        <a:p>
          <a:r>
            <a:rPr lang="fr-FR" sz="1100" baseline="0"/>
            <a:t>Augmentation des charges fixes    = +4000€</a:t>
          </a:r>
          <a:endParaRPr lang="fr-FR" sz="1100"/>
        </a:p>
      </xdr:txBody>
    </xdr:sp>
    <xdr:clientData/>
  </xdr:twoCellAnchor>
  <xdr:twoCellAnchor>
    <xdr:from>
      <xdr:col>3</xdr:col>
      <xdr:colOff>857249</xdr:colOff>
      <xdr:row>8</xdr:row>
      <xdr:rowOff>57150</xdr:rowOff>
    </xdr:from>
    <xdr:to>
      <xdr:col>12</xdr:col>
      <xdr:colOff>56030</xdr:colOff>
      <xdr:row>22</xdr:row>
      <xdr:rowOff>56029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CD6EF1E-4DF5-4F5C-99C0-62FF92A142FF}"/>
            </a:ext>
          </a:extLst>
        </xdr:cNvPr>
        <xdr:cNvSpPr txBox="1"/>
      </xdr:nvSpPr>
      <xdr:spPr>
        <a:xfrm>
          <a:off x="3735760" y="1674999"/>
          <a:ext cx="6902825" cy="26462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Coût</a:t>
          </a:r>
          <a:r>
            <a:rPr lang="fr-FR" sz="1400" baseline="0"/>
            <a:t> des MP		: 1,20 *16000 	= 19200€</a:t>
          </a:r>
        </a:p>
        <a:p>
          <a:r>
            <a:rPr lang="fr-FR" sz="1400" baseline="0"/>
            <a:t>Charges variables de production			: 9600€</a:t>
          </a:r>
        </a:p>
        <a:p>
          <a:r>
            <a:rPr lang="fr-FR" sz="1400" baseline="0"/>
            <a:t>Charges fixes de production			: 8000€</a:t>
          </a:r>
        </a:p>
        <a:p>
          <a:r>
            <a:rPr lang="fr-FR" sz="1400" b="1" baseline="0"/>
            <a:t>TOTAL PRODUCTION				: 36800€</a:t>
          </a:r>
        </a:p>
        <a:p>
          <a:endParaRPr lang="fr-FR" sz="1400" baseline="0"/>
        </a:p>
        <a:p>
          <a:r>
            <a:rPr lang="fr-FR" sz="1400" baseline="0"/>
            <a:t>Charges variables Magasin	: 1 * 12000		: 12000€</a:t>
          </a:r>
        </a:p>
        <a:p>
          <a:r>
            <a:rPr lang="fr-FR" sz="1400" baseline="0"/>
            <a:t>Charges variable Site		: 0,20 * 4000	:   800€</a:t>
          </a:r>
        </a:p>
        <a:p>
          <a:r>
            <a:rPr lang="fr-FR" sz="1400" baseline="0"/>
            <a:t>Charges fixes				: 7000€ </a:t>
          </a:r>
        </a:p>
        <a:p>
          <a:r>
            <a:rPr lang="fr-FR" sz="1400" b="1" baseline="0"/>
            <a:t>TOTAL DISTRIBUTION				:  19800€</a:t>
          </a:r>
        </a:p>
        <a:p>
          <a:endParaRPr lang="fr-FR" sz="1400" baseline="0"/>
        </a:p>
        <a:p>
          <a:r>
            <a:rPr lang="fr-FR" sz="1400" b="1" baseline="0"/>
            <a:t>TOTAL CHARGES				: 56600€</a:t>
          </a:r>
          <a:endParaRPr lang="fr-FR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3"/>
  <sheetViews>
    <sheetView showGridLines="0" tabSelected="1" zoomScale="136" zoomScaleNormal="136" workbookViewId="0">
      <selection activeCell="N29" sqref="N29"/>
    </sheetView>
  </sheetViews>
  <sheetFormatPr baseColWidth="10" defaultRowHeight="15" x14ac:dyDescent="0.25"/>
  <cols>
    <col min="1" max="1" width="18.5703125" customWidth="1"/>
    <col min="2" max="3" width="12.28515625" bestFit="1" customWidth="1"/>
    <col min="4" max="4" width="14.28515625" bestFit="1" customWidth="1"/>
    <col min="5" max="6" width="12.28515625" bestFit="1" customWidth="1"/>
    <col min="7" max="7" width="18.5703125" bestFit="1" customWidth="1"/>
    <col min="9" max="9" width="12.28515625" bestFit="1" customWidth="1"/>
  </cols>
  <sheetData>
    <row r="2" spans="1:8" x14ac:dyDescent="0.25">
      <c r="A2" s="3" t="s">
        <v>1</v>
      </c>
      <c r="B2" s="3" t="s">
        <v>4</v>
      </c>
      <c r="C2" s="3" t="s">
        <v>2</v>
      </c>
      <c r="D2" s="3" t="s">
        <v>3</v>
      </c>
      <c r="E2" s="3" t="s">
        <v>6</v>
      </c>
      <c r="F2" s="3" t="s">
        <v>7</v>
      </c>
      <c r="G2" s="3" t="s">
        <v>5</v>
      </c>
      <c r="H2" s="4"/>
    </row>
    <row r="3" spans="1:8" x14ac:dyDescent="0.25">
      <c r="A3" s="3" t="s">
        <v>12</v>
      </c>
      <c r="B3" s="3">
        <v>3.8</v>
      </c>
      <c r="C3" s="5">
        <f>1.2+(9600/16000)+1</f>
        <v>2.8</v>
      </c>
      <c r="D3" s="3">
        <v>12000</v>
      </c>
      <c r="E3" s="6">
        <f>+(B3-C3)*D3</f>
        <v>12000</v>
      </c>
      <c r="F3" s="6"/>
      <c r="G3" s="6"/>
      <c r="H3" s="4"/>
    </row>
    <row r="4" spans="1:8" x14ac:dyDescent="0.25">
      <c r="A4" s="3" t="s">
        <v>11</v>
      </c>
      <c r="B4" s="3">
        <v>3.2</v>
      </c>
      <c r="C4" s="5">
        <v>2</v>
      </c>
      <c r="D4" s="3">
        <v>4000</v>
      </c>
      <c r="E4" s="6">
        <f>+(B4-C4)*D4</f>
        <v>4800.0000000000009</v>
      </c>
      <c r="F4" s="6"/>
      <c r="G4" s="6"/>
      <c r="H4" s="4"/>
    </row>
    <row r="5" spans="1:8" ht="23.25" x14ac:dyDescent="0.35">
      <c r="A5" s="3" t="s">
        <v>0</v>
      </c>
      <c r="B5" s="3"/>
      <c r="C5" s="3"/>
      <c r="D5" s="3">
        <f>SUM(D3:D4)</f>
        <v>16000</v>
      </c>
      <c r="E5" s="6">
        <f>E3+E4</f>
        <v>16800</v>
      </c>
      <c r="F5" s="6">
        <v>15000</v>
      </c>
      <c r="G5" s="20">
        <f>E5-F5</f>
        <v>1800</v>
      </c>
      <c r="H5" s="4"/>
    </row>
    <row r="10" spans="1:8" x14ac:dyDescent="0.25">
      <c r="A10" s="10" t="s">
        <v>4</v>
      </c>
      <c r="B10" s="10" t="s">
        <v>22</v>
      </c>
      <c r="C10" s="10" t="s">
        <v>5</v>
      </c>
    </row>
    <row r="11" spans="1:8" x14ac:dyDescent="0.25">
      <c r="A11" s="6">
        <v>58400</v>
      </c>
      <c r="B11" s="5">
        <f>(C3*D3)+(C4*D4)+F5</f>
        <v>56600</v>
      </c>
      <c r="C11" s="26">
        <f>A11-B11</f>
        <v>1800</v>
      </c>
    </row>
    <row r="28" spans="1:5" x14ac:dyDescent="0.25">
      <c r="A28" s="1"/>
      <c r="B28" s="3" t="s">
        <v>13</v>
      </c>
      <c r="C28" s="12" t="s">
        <v>12</v>
      </c>
      <c r="D28" s="12" t="s">
        <v>11</v>
      </c>
    </row>
    <row r="29" spans="1:5" x14ac:dyDescent="0.25">
      <c r="A29" s="1" t="s">
        <v>17</v>
      </c>
      <c r="B29" s="14">
        <v>2</v>
      </c>
      <c r="C29" s="13">
        <v>3.8</v>
      </c>
      <c r="D29" s="13">
        <v>3.2</v>
      </c>
    </row>
    <row r="30" spans="1:5" x14ac:dyDescent="0.25">
      <c r="A30" s="1" t="s">
        <v>8</v>
      </c>
      <c r="B30" s="2">
        <f>1.2*16000+9600+8000</f>
        <v>36800</v>
      </c>
      <c r="C30" s="13">
        <f>D3*B29+(1*D3)+6000</f>
        <v>42000</v>
      </c>
      <c r="D30" s="13">
        <f>D4*(B29+0.2)+1000</f>
        <v>9800</v>
      </c>
    </row>
    <row r="31" spans="1:5" x14ac:dyDescent="0.25">
      <c r="A31" s="1" t="s">
        <v>9</v>
      </c>
      <c r="B31" s="2">
        <f>+B29*16000</f>
        <v>32000</v>
      </c>
      <c r="C31" s="13">
        <f>B3*D3</f>
        <v>45600</v>
      </c>
      <c r="D31" s="13">
        <f>D4*B4</f>
        <v>12800</v>
      </c>
    </row>
    <row r="32" spans="1:5" x14ac:dyDescent="0.25">
      <c r="A32" s="1" t="s">
        <v>10</v>
      </c>
      <c r="B32" s="15">
        <f>B31-B30</f>
        <v>-4800</v>
      </c>
      <c r="C32" s="13">
        <f>C31-C30</f>
        <v>3600</v>
      </c>
      <c r="D32" s="13">
        <f t="shared" ref="D32" si="0">D31-D30</f>
        <v>3000</v>
      </c>
      <c r="E32" s="28">
        <f>SUM(B32:D32)</f>
        <v>1800</v>
      </c>
    </row>
    <row r="34" spans="1:8" x14ac:dyDescent="0.25">
      <c r="A34" s="7" t="s">
        <v>14</v>
      </c>
    </row>
    <row r="36" spans="1:8" ht="18.75" x14ac:dyDescent="0.3">
      <c r="A36" s="1" t="s">
        <v>2</v>
      </c>
      <c r="B36" s="1">
        <f>D5</f>
        <v>16000</v>
      </c>
      <c r="C36" s="16">
        <f>1.2+(9600/16000)</f>
        <v>1.7999999999999998</v>
      </c>
      <c r="D36" s="2">
        <f>B36*C36</f>
        <v>28799.999999999996</v>
      </c>
      <c r="F36" s="22" t="s">
        <v>19</v>
      </c>
      <c r="G36" s="23">
        <f>1.8*1.3</f>
        <v>2.3400000000000003</v>
      </c>
    </row>
    <row r="37" spans="1:8" ht="41.25" customHeight="1" x14ac:dyDescent="0.25"/>
    <row r="38" spans="1:8" x14ac:dyDescent="0.25">
      <c r="A38" s="1"/>
      <c r="B38" s="10" t="s">
        <v>13</v>
      </c>
      <c r="C38" s="12" t="s">
        <v>12</v>
      </c>
      <c r="D38" s="10" t="s">
        <v>11</v>
      </c>
    </row>
    <row r="39" spans="1:8" x14ac:dyDescent="0.25">
      <c r="A39" s="1" t="s">
        <v>17</v>
      </c>
      <c r="B39" s="21">
        <f>C36*1.3</f>
        <v>2.34</v>
      </c>
      <c r="C39" s="13">
        <v>3.8</v>
      </c>
      <c r="D39" s="2">
        <v>3.2</v>
      </c>
    </row>
    <row r="40" spans="1:8" x14ac:dyDescent="0.25">
      <c r="A40" s="1" t="s">
        <v>8</v>
      </c>
      <c r="B40" s="2">
        <f>B30</f>
        <v>36800</v>
      </c>
      <c r="C40" s="13">
        <f>(B39*12000)+(1*12000)+6000</f>
        <v>46080</v>
      </c>
      <c r="D40" s="2">
        <f>(B39*4000)+(0.2*4000)+1000</f>
        <v>11160</v>
      </c>
    </row>
    <row r="41" spans="1:8" x14ac:dyDescent="0.25">
      <c r="A41" s="1" t="s">
        <v>18</v>
      </c>
      <c r="B41" s="2">
        <f>B39*16000</f>
        <v>37440</v>
      </c>
      <c r="C41" s="13">
        <f>C39*12000</f>
        <v>45600</v>
      </c>
      <c r="D41" s="2">
        <f>4000*D39</f>
        <v>12800</v>
      </c>
    </row>
    <row r="42" spans="1:8" x14ac:dyDescent="0.25">
      <c r="A42" s="1" t="s">
        <v>10</v>
      </c>
      <c r="B42" s="15">
        <f>B41-B40</f>
        <v>640</v>
      </c>
      <c r="C42" s="27">
        <f>C41-C40</f>
        <v>-480</v>
      </c>
      <c r="D42" s="15">
        <f t="shared" ref="D42" si="1">D41-D40</f>
        <v>1640</v>
      </c>
      <c r="E42" s="28">
        <f>SUM(B42:D42)</f>
        <v>1800</v>
      </c>
    </row>
    <row r="44" spans="1:8" x14ac:dyDescent="0.25">
      <c r="A44" s="1" t="s">
        <v>2</v>
      </c>
      <c r="B44" s="1">
        <v>16000</v>
      </c>
      <c r="C44" s="11">
        <f>C36-0.25</f>
        <v>1.5499999999999998</v>
      </c>
      <c r="D44" s="2">
        <f>B44*C44</f>
        <v>24799.999999999996</v>
      </c>
    </row>
    <row r="45" spans="1:8" x14ac:dyDescent="0.25">
      <c r="A45" s="1" t="s">
        <v>15</v>
      </c>
      <c r="B45" s="1"/>
      <c r="C45" s="2"/>
      <c r="D45" s="2">
        <f>8000+4000</f>
        <v>12000</v>
      </c>
    </row>
    <row r="46" spans="1:8" x14ac:dyDescent="0.25">
      <c r="A46" s="1" t="s">
        <v>16</v>
      </c>
      <c r="B46" s="1">
        <f>B44</f>
        <v>16000</v>
      </c>
      <c r="C46" s="8">
        <f>D46/B46</f>
        <v>2.2999999999999998</v>
      </c>
      <c r="D46" s="2">
        <f>D44+D45</f>
        <v>36800</v>
      </c>
    </row>
    <row r="48" spans="1:8" x14ac:dyDescent="0.25">
      <c r="G48" s="19" t="s">
        <v>20</v>
      </c>
      <c r="H48" s="19">
        <f>1.8-0.25</f>
        <v>1.55</v>
      </c>
    </row>
    <row r="49" spans="1:8" x14ac:dyDescent="0.25">
      <c r="A49" s="1"/>
      <c r="B49" s="9" t="s">
        <v>13</v>
      </c>
      <c r="C49" s="9" t="s">
        <v>12</v>
      </c>
      <c r="D49" s="9" t="s">
        <v>11</v>
      </c>
      <c r="G49" s="24" t="s">
        <v>21</v>
      </c>
      <c r="H49" s="25">
        <f>H48*1.3</f>
        <v>2.0150000000000001</v>
      </c>
    </row>
    <row r="50" spans="1:8" x14ac:dyDescent="0.25">
      <c r="A50" s="1" t="s">
        <v>17</v>
      </c>
      <c r="B50" s="18">
        <f>C44*1.3</f>
        <v>2.0149999999999997</v>
      </c>
      <c r="C50" s="2">
        <v>3.8</v>
      </c>
      <c r="D50" s="2">
        <v>3.2</v>
      </c>
    </row>
    <row r="51" spans="1:8" x14ac:dyDescent="0.25">
      <c r="A51" s="1" t="s">
        <v>8</v>
      </c>
      <c r="B51" s="2">
        <f>D46</f>
        <v>36800</v>
      </c>
      <c r="C51" s="2">
        <f>B50*12000+(6000+1*12000)</f>
        <v>42180</v>
      </c>
      <c r="D51" s="2">
        <f>B50*4000+1000+(0.2*4000)</f>
        <v>9860</v>
      </c>
    </row>
    <row r="52" spans="1:8" x14ac:dyDescent="0.25">
      <c r="A52" s="1" t="s">
        <v>9</v>
      </c>
      <c r="B52" s="2">
        <f>B50*16000</f>
        <v>32239.999999999996</v>
      </c>
      <c r="C52" s="2">
        <f>C50*12000</f>
        <v>45600</v>
      </c>
      <c r="D52" s="2">
        <f>D50*4000</f>
        <v>12800</v>
      </c>
    </row>
    <row r="53" spans="1:8" x14ac:dyDescent="0.25">
      <c r="A53" s="1" t="s">
        <v>10</v>
      </c>
      <c r="B53" s="15">
        <f>B52-B51</f>
        <v>-4560.0000000000036</v>
      </c>
      <c r="C53" s="15">
        <f>C52-C51</f>
        <v>3420</v>
      </c>
      <c r="D53" s="15">
        <f t="shared" ref="D53" si="2">D52-D51</f>
        <v>2940</v>
      </c>
      <c r="E53" s="17">
        <f>SUM(B53:D53)</f>
        <v>1799.9999999999964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2019-03-20T09:06:11Z</dcterms:created>
  <dcterms:modified xsi:type="dcterms:W3CDTF">2022-03-08T07:49:52Z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27f5bb0e-e080-45e8-8cf7-7a4d9889adb7</vt:lpwstr>
  </property>
</Properties>
</file>