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e.noel\OneDrive\Enseignement\IUT BRETIGNY GEA\M41M13 - M41F13\Année 2020 2021\Theme 2 Les écarts sur CA\"/>
    </mc:Choice>
  </mc:AlternateContent>
  <xr:revisionPtr revIDLastSave="4" documentId="11_8DC561971C2D7B8094A7FD692412EA62E39DAF2D" xr6:coauthVersionLast="36" xr6:coauthVersionMax="36" xr10:uidLastSave="{53C1FCCE-36D2-4E65-8130-5D956E157F96}"/>
  <bookViews>
    <workbookView xWindow="0" yWindow="0" windowWidth="23040" windowHeight="9390" activeTab="1" xr2:uid="{00000000-000D-0000-FFFF-FFFF00000000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E27" i="2"/>
  <c r="D28" i="2"/>
  <c r="E28" i="2" s="1"/>
  <c r="D29" i="2"/>
  <c r="E29" i="2"/>
  <c r="B30" i="2"/>
  <c r="C30" i="2"/>
  <c r="E30" i="2"/>
  <c r="D30" i="2" l="1"/>
  <c r="G29" i="2"/>
  <c r="G28" i="2"/>
  <c r="G27" i="2"/>
  <c r="F7" i="2"/>
  <c r="H9" i="2"/>
  <c r="C20" i="2"/>
  <c r="B20" i="2"/>
  <c r="D5" i="2"/>
  <c r="E6" i="2"/>
  <c r="G6" i="2" s="1"/>
  <c r="B6" i="2"/>
  <c r="D6" i="2" s="1"/>
  <c r="H6" i="2" s="1"/>
  <c r="E5" i="2"/>
  <c r="G5" i="2" s="1"/>
  <c r="B5" i="2"/>
  <c r="E4" i="2"/>
  <c r="G4" i="2" s="1"/>
  <c r="B4" i="2"/>
  <c r="D4" i="2" s="1"/>
  <c r="H4" i="2" s="1"/>
  <c r="D18" i="2"/>
  <c r="D19" i="2"/>
  <c r="D17" i="2"/>
  <c r="C13" i="2"/>
  <c r="C12" i="2"/>
  <c r="C11" i="2"/>
  <c r="E11" i="2" s="1"/>
  <c r="B13" i="2"/>
  <c r="E13" i="2" s="1"/>
  <c r="B12" i="2"/>
  <c r="E12" i="2" s="1"/>
  <c r="B11" i="2"/>
  <c r="G7" i="2" l="1"/>
  <c r="G9" i="2"/>
  <c r="H10" i="2" s="1"/>
  <c r="H5" i="2"/>
  <c r="H7" i="2" s="1"/>
  <c r="E14" i="2"/>
  <c r="E18" i="2"/>
  <c r="E19" i="2"/>
  <c r="E17" i="2"/>
  <c r="D36" i="2"/>
  <c r="D35" i="2"/>
  <c r="D34" i="2"/>
  <c r="D37" i="2" s="1"/>
  <c r="E20" i="2" l="1"/>
  <c r="G16" i="2" s="1"/>
  <c r="B53" i="1" l="1"/>
  <c r="E18" i="1"/>
  <c r="E38" i="1" s="1"/>
  <c r="M14" i="1"/>
  <c r="D8" i="1"/>
  <c r="D9" i="1"/>
  <c r="D10" i="1"/>
  <c r="E19" i="1"/>
  <c r="E39" i="1" s="1"/>
  <c r="M15" i="1"/>
  <c r="G19" i="1" s="1"/>
  <c r="F19" i="1" s="1"/>
  <c r="I8" i="1"/>
  <c r="I9" i="1"/>
  <c r="I10" i="1"/>
  <c r="B18" i="1"/>
  <c r="B20" i="1" s="1"/>
  <c r="D12" i="1"/>
  <c r="B19" i="1"/>
  <c r="B39" i="1" s="1"/>
  <c r="I12" i="1"/>
  <c r="A50" i="1"/>
  <c r="G50" i="1" s="1"/>
  <c r="A49" i="1"/>
  <c r="G49" i="1" s="1"/>
  <c r="A30" i="1"/>
  <c r="G30" i="1" s="1"/>
  <c r="A29" i="1"/>
  <c r="G29" i="1" s="1"/>
  <c r="C19" i="1"/>
  <c r="D30" i="1" s="1"/>
  <c r="C18" i="1"/>
  <c r="D18" i="1" s="1"/>
  <c r="H30" i="1"/>
  <c r="L16" i="1"/>
  <c r="N15" i="1"/>
  <c r="N14" i="1"/>
  <c r="N16" i="1" s="1"/>
  <c r="I11" i="1" l="1"/>
  <c r="C30" i="1"/>
  <c r="G30" i="2"/>
  <c r="B32" i="2" s="1"/>
  <c r="B34" i="2" s="1"/>
  <c r="I13" i="1"/>
  <c r="C39" i="1" s="1"/>
  <c r="E45" i="1" s="1"/>
  <c r="D19" i="1"/>
  <c r="H19" i="1" s="1"/>
  <c r="D11" i="1"/>
  <c r="D13" i="1" s="1"/>
  <c r="C38" i="1" s="1"/>
  <c r="B38" i="1"/>
  <c r="C49" i="1" s="1"/>
  <c r="E24" i="1"/>
  <c r="E25" i="1"/>
  <c r="H29" i="1"/>
  <c r="M16" i="1"/>
  <c r="D29" i="1"/>
  <c r="K29" i="1" s="1"/>
  <c r="E20" i="1"/>
  <c r="H50" i="1"/>
  <c r="K30" i="1"/>
  <c r="C50" i="1"/>
  <c r="E40" i="1"/>
  <c r="H49" i="1"/>
  <c r="F39" i="1"/>
  <c r="G39" i="1" s="1"/>
  <c r="B25" i="1"/>
  <c r="G18" i="1"/>
  <c r="C29" i="1"/>
  <c r="B40" i="1" l="1"/>
  <c r="H31" i="1"/>
  <c r="D39" i="1"/>
  <c r="H39" i="1" s="1"/>
  <c r="D20" i="1"/>
  <c r="C20" i="1" s="1"/>
  <c r="A33" i="1" s="1"/>
  <c r="B45" i="1"/>
  <c r="D50" i="1"/>
  <c r="J50" i="1" s="1"/>
  <c r="E26" i="1"/>
  <c r="B29" i="1"/>
  <c r="B30" i="1"/>
  <c r="D49" i="1"/>
  <c r="J49" i="1" s="1"/>
  <c r="E44" i="1"/>
  <c r="E46" i="1" s="1"/>
  <c r="G20" i="1"/>
  <c r="H18" i="1"/>
  <c r="H20" i="1" s="1"/>
  <c r="F18" i="1"/>
  <c r="B24" i="1" s="1"/>
  <c r="D38" i="1"/>
  <c r="B50" i="1" l="1"/>
  <c r="I30" i="1"/>
  <c r="E30" i="1"/>
  <c r="B49" i="1"/>
  <c r="I49" i="1" s="1"/>
  <c r="I29" i="1"/>
  <c r="E29" i="1"/>
  <c r="E31" i="1" s="1"/>
  <c r="K49" i="1"/>
  <c r="E49" i="1"/>
  <c r="F38" i="1"/>
  <c r="B26" i="1"/>
  <c r="D40" i="1"/>
  <c r="C40" i="1" s="1"/>
  <c r="L29" i="1" l="1"/>
  <c r="I31" i="1"/>
  <c r="J29" i="1"/>
  <c r="L30" i="1"/>
  <c r="J30" i="1"/>
  <c r="I50" i="1"/>
  <c r="K50" i="1" s="1"/>
  <c r="K51" i="1" s="1"/>
  <c r="E50" i="1"/>
  <c r="E51" i="1" s="1"/>
  <c r="L31" i="1"/>
  <c r="G38" i="1"/>
  <c r="B44" i="1"/>
  <c r="B46" i="1" s="1"/>
  <c r="G40" i="1" l="1"/>
  <c r="H38" i="1"/>
  <c r="H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(16900-19000)*77,47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16900 * 26,32%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33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(16900-19000)*77,47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<sst xmlns="http://schemas.openxmlformats.org/spreadsheetml/2006/main" count="171" uniqueCount="66">
  <si>
    <t>PV</t>
  </si>
  <si>
    <t>Quantité</t>
  </si>
  <si>
    <t>P1</t>
  </si>
  <si>
    <t>P2</t>
  </si>
  <si>
    <t>Fiche standard P1</t>
  </si>
  <si>
    <t>Fiche standard P2</t>
  </si>
  <si>
    <t>Q</t>
  </si>
  <si>
    <t>PU</t>
  </si>
  <si>
    <t>M</t>
  </si>
  <si>
    <t>MP</t>
  </si>
  <si>
    <t>MOD</t>
  </si>
  <si>
    <t>Charges indirectes</t>
  </si>
  <si>
    <t>COUT STANDARD</t>
  </si>
  <si>
    <t>MARGE UNITAIRE</t>
  </si>
  <si>
    <t>CA</t>
  </si>
  <si>
    <t>Coût</t>
  </si>
  <si>
    <t>CA Prévu</t>
  </si>
  <si>
    <t>CA Réel</t>
  </si>
  <si>
    <t>Ecart</t>
  </si>
  <si>
    <t>TOTAL</t>
  </si>
  <si>
    <t>Montant</t>
  </si>
  <si>
    <t>D</t>
  </si>
  <si>
    <t>F</t>
  </si>
  <si>
    <t>E/Prix</t>
  </si>
  <si>
    <t>E/Quantité</t>
  </si>
  <si>
    <t>DEF</t>
  </si>
  <si>
    <t>FAV</t>
  </si>
  <si>
    <t>E/Volume</t>
  </si>
  <si>
    <t>Qté liée à la composition</t>
  </si>
  <si>
    <t>Qté prévue</t>
  </si>
  <si>
    <t>Prix Prévu</t>
  </si>
  <si>
    <t>E/ Composition</t>
  </si>
  <si>
    <t>Qté réelle</t>
  </si>
  <si>
    <t>187,50*(1600-1620)</t>
  </si>
  <si>
    <t>Marge prévue</t>
  </si>
  <si>
    <t>Marge réelle</t>
  </si>
  <si>
    <t>Marge unitaire</t>
  </si>
  <si>
    <t>Marge totale</t>
  </si>
  <si>
    <t>E/Marge unitaire</t>
  </si>
  <si>
    <t xml:space="preserve">ou 20*12,4375 = </t>
  </si>
  <si>
    <t>Ecart en quantité</t>
  </si>
  <si>
    <t>VISTA 100</t>
  </si>
  <si>
    <t>VISTA 120</t>
  </si>
  <si>
    <t>% du Qté prévu</t>
  </si>
  <si>
    <t>ECART / COMPO</t>
  </si>
  <si>
    <t>ECART / VOLUME</t>
  </si>
  <si>
    <t>5000/19000</t>
  </si>
  <si>
    <t>8000/19000</t>
  </si>
  <si>
    <t>6000/19000</t>
  </si>
  <si>
    <t>Vista 100</t>
  </si>
  <si>
    <t>Vista 110</t>
  </si>
  <si>
    <t>Vista 120</t>
  </si>
  <si>
    <t>VISTA 110</t>
  </si>
  <si>
    <t>E/MARGE UNITAIRE</t>
  </si>
  <si>
    <t>Quantité réelle</t>
  </si>
  <si>
    <t>Ecart / Marge unitaire</t>
  </si>
  <si>
    <t>E/QUANTITE</t>
  </si>
  <si>
    <t>Quantité prévue</t>
  </si>
  <si>
    <t>Ecart / Quantité</t>
  </si>
  <si>
    <t>E/MARGE GLOBAL</t>
  </si>
  <si>
    <t>Marge réelle unitaire</t>
  </si>
  <si>
    <t>Ecart / Marge global</t>
  </si>
  <si>
    <t>REELLE</t>
  </si>
  <si>
    <t>PREVISION</t>
  </si>
  <si>
    <t>Marge prévue globale</t>
  </si>
  <si>
    <t>Marge réelle globale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</si>
</sst>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44" fontId="0" fillId="0" borderId="1" xfId="1" applyFont="1" applyBorder="1"/>
    <xf numFmtId="0" fontId="2" fillId="0" borderId="1" xfId="0" applyFont="1" applyFill="1" applyBorder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44" fontId="0" fillId="0" borderId="1" xfId="0" applyNumberFormat="1" applyBorder="1"/>
    <xf numFmtId="1" fontId="0" fillId="0" borderId="1" xfId="0" applyNumberFormat="1" applyBorder="1"/>
    <xf numFmtId="0" fontId="0" fillId="0" borderId="0" xfId="0" quotePrefix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0" fillId="0" borderId="1" xfId="0" applyFill="1" applyBorder="1"/>
    <xf numFmtId="4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/>
    <xf numFmtId="44" fontId="2" fillId="0" borderId="1" xfId="0" applyNumberFormat="1" applyFont="1" applyFill="1" applyBorder="1" applyAlignme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4" fontId="0" fillId="0" borderId="0" xfId="0" applyNumberFormat="1"/>
    <xf numFmtId="0" fontId="2" fillId="0" borderId="1" xfId="0" applyFont="1" applyFill="1" applyBorder="1" applyAlignment="1">
      <alignment horizontal="center" wrapText="1"/>
    </xf>
    <xf numFmtId="10" fontId="0" fillId="0" borderId="1" xfId="0" applyNumberFormat="1" applyBorder="1"/>
    <xf numFmtId="10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3" borderId="0" xfId="0" applyFill="1"/>
    <xf numFmtId="44" fontId="0" fillId="3" borderId="0" xfId="1" applyFont="1" applyFill="1"/>
    <xf numFmtId="44" fontId="0" fillId="0" borderId="0" xfId="0" applyNumberFormat="1" applyFill="1"/>
    <xf numFmtId="10" fontId="0" fillId="0" borderId="0" xfId="2" applyNumberFormat="1" applyFont="1"/>
    <xf numFmtId="10" fontId="0" fillId="0" borderId="0" xfId="0" applyNumberFormat="1"/>
    <xf numFmtId="0" fontId="0" fillId="4" borderId="0" xfId="0" applyFill="1"/>
    <xf numFmtId="44" fontId="0" fillId="4" borderId="0" xfId="0" applyNumberForma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0" fontId="2" fillId="0" borderId="1" xfId="0" applyNumberFormat="1" applyFont="1" applyBorder="1" applyAlignment="1">
      <alignment horizontal="center"/>
    </xf>
    <xf numFmtId="44" fontId="0" fillId="6" borderId="1" xfId="1" applyFont="1" applyFill="1" applyBorder="1"/>
    <xf numFmtId="1" fontId="0" fillId="6" borderId="1" xfId="0" applyNumberFormat="1" applyFill="1" applyBorder="1"/>
    <xf numFmtId="44" fontId="2" fillId="6" borderId="1" xfId="0" applyNumberFormat="1" applyFont="1" applyFill="1" applyBorder="1"/>
    <xf numFmtId="44" fontId="2" fillId="5" borderId="0" xfId="0" applyNumberFormat="1" applyFont="1" applyFill="1"/>
    <xf numFmtId="0" fontId="0" fillId="6" borderId="1" xfId="1" applyNumberFormat="1" applyFont="1" applyFill="1" applyBorder="1"/>
    <xf numFmtId="44" fontId="2" fillId="0" borderId="0" xfId="0" applyNumberFormat="1" applyFont="1"/>
    <xf numFmtId="44" fontId="2" fillId="2" borderId="0" xfId="0" applyNumberFormat="1" applyFont="1" applyFill="1"/>
    <xf numFmtId="1" fontId="0" fillId="0" borderId="0" xfId="0" applyNumberFormat="1"/>
    <xf numFmtId="44" fontId="0" fillId="0" borderId="0" xfId="0" applyNumberFormat="1" applyAlignment="1">
      <alignment horizontal="center"/>
    </xf>
    <xf numFmtId="0" fontId="0" fillId="0" borderId="6" xfId="0" applyFill="1" applyBorder="1"/>
    <xf numFmtId="0" fontId="0" fillId="0" borderId="0" xfId="0" applyNumberFormat="1"/>
    <xf numFmtId="0" fontId="0" fillId="0" borderId="0" xfId="0" applyFill="1"/>
    <xf numFmtId="44" fontId="0" fillId="0" borderId="0" xfId="1" applyFont="1" applyFill="1"/>
    <xf numFmtId="10" fontId="0" fillId="0" borderId="1" xfId="0" applyNumberFormat="1" applyFill="1" applyBorder="1"/>
    <xf numFmtId="1" fontId="0" fillId="0" borderId="1" xfId="0" applyNumberFormat="1" applyFill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33338</xdr:colOff>
      <xdr:row>15</xdr:row>
      <xdr:rowOff>352425</xdr:rowOff>
    </xdr:from>
    <xdr:to>
      <xdr:col>6</xdr:col>
      <xdr:colOff>552450</xdr:colOff>
      <xdr:row>19</xdr:row>
      <xdr:rowOff>114300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5272088" y="2066925"/>
          <a:ext cx="1281112" cy="714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14288</xdr:colOff>
      <xdr:row>13</xdr:row>
      <xdr:rowOff>123825</xdr:rowOff>
    </xdr:from>
    <xdr:to>
      <xdr:col>6</xdr:col>
      <xdr:colOff>423863</xdr:colOff>
      <xdr:row>15</xdr:row>
      <xdr:rowOff>180975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253038" y="1457325"/>
          <a:ext cx="1171575" cy="438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3"/>
  <sheetViews>
    <sheetView showGridLines="0" topLeftCell="A16" zoomScale="150" zoomScaleNormal="150" workbookViewId="0">
      <selection activeCell="G28" sqref="G28:M31"/>
    </sheetView>
  </sheetViews>
  <sheetFormatPr baseColWidth="10" defaultColWidth="11.42578125" defaultRowHeight="15" x14ac:dyDescent="0.25"/>
  <cols>
    <col min="1" max="1" width="15.7109375" bestFit="1" customWidth="1"/>
    <col min="2" max="2" width="11.5703125" bestFit="1" customWidth="1"/>
    <col min="3" max="4" width="13.7109375" bestFit="1" customWidth="1"/>
    <col min="5" max="5" width="11.85546875" bestFit="1" customWidth="1"/>
    <col min="6" max="6" width="15.7109375" bestFit="1" customWidth="1"/>
    <col min="7" max="7" width="14.5703125" bestFit="1" customWidth="1"/>
    <col min="8" max="8" width="11.85546875" bestFit="1" customWidth="1"/>
    <col min="9" max="9" width="15" customWidth="1"/>
    <col min="10" max="10" width="12.85546875" bestFit="1" customWidth="1"/>
    <col min="12" max="12" width="11.85546875" bestFit="1" customWidth="1"/>
    <col min="13" max="14" width="11.5703125" bestFit="1" customWidth="1"/>
  </cols>
  <sheetData>
    <row r="2" spans="1:14" x14ac:dyDescent="0.25">
      <c r="B2" s="13" t="s">
        <v>0</v>
      </c>
      <c r="C2" t="s">
        <v>1</v>
      </c>
    </row>
    <row r="3" spans="1:14" x14ac:dyDescent="0.25">
      <c r="A3" t="s">
        <v>2</v>
      </c>
      <c r="B3">
        <v>150</v>
      </c>
      <c r="C3">
        <v>1200</v>
      </c>
    </row>
    <row r="4" spans="1:14" x14ac:dyDescent="0.25">
      <c r="A4" t="s">
        <v>3</v>
      </c>
      <c r="B4">
        <v>300</v>
      </c>
      <c r="C4">
        <v>400</v>
      </c>
    </row>
    <row r="6" spans="1:14" x14ac:dyDescent="0.25">
      <c r="A6" s="60" t="s">
        <v>4</v>
      </c>
      <c r="B6" s="60"/>
      <c r="C6" s="60"/>
      <c r="D6" s="60"/>
      <c r="F6" s="60" t="s">
        <v>5</v>
      </c>
      <c r="G6" s="60"/>
      <c r="H6" s="60"/>
      <c r="I6" s="60"/>
    </row>
    <row r="7" spans="1:14" x14ac:dyDescent="0.25">
      <c r="A7" s="1"/>
      <c r="B7" s="14" t="s">
        <v>6</v>
      </c>
      <c r="C7" s="14" t="s">
        <v>7</v>
      </c>
      <c r="D7" s="14" t="s">
        <v>8</v>
      </c>
      <c r="F7" s="1"/>
      <c r="G7" s="14" t="s">
        <v>6</v>
      </c>
      <c r="H7" s="14" t="s">
        <v>7</v>
      </c>
      <c r="I7" s="14" t="s">
        <v>8</v>
      </c>
    </row>
    <row r="8" spans="1:14" x14ac:dyDescent="0.25">
      <c r="A8" s="1" t="s">
        <v>9</v>
      </c>
      <c r="B8" s="1">
        <v>3</v>
      </c>
      <c r="C8" s="3">
        <v>8</v>
      </c>
      <c r="D8" s="3">
        <f>B8*C8</f>
        <v>24</v>
      </c>
      <c r="F8" s="1" t="s">
        <v>9</v>
      </c>
      <c r="G8" s="1">
        <v>7</v>
      </c>
      <c r="H8" s="1">
        <v>8</v>
      </c>
      <c r="I8" s="3">
        <f>G8*H8</f>
        <v>56</v>
      </c>
    </row>
    <row r="9" spans="1:14" x14ac:dyDescent="0.25">
      <c r="A9" s="1" t="s">
        <v>10</v>
      </c>
      <c r="B9" s="1">
        <v>2.5</v>
      </c>
      <c r="C9" s="3">
        <v>29</v>
      </c>
      <c r="D9" s="3">
        <f t="shared" ref="D9:D10" si="0">B9*C9</f>
        <v>72.5</v>
      </c>
      <c r="F9" s="1" t="s">
        <v>10</v>
      </c>
      <c r="G9" s="1">
        <v>4.75</v>
      </c>
      <c r="H9" s="1">
        <v>33</v>
      </c>
      <c r="I9" s="3">
        <f t="shared" ref="I9:I10" si="1">G9*H9</f>
        <v>156.75</v>
      </c>
    </row>
    <row r="10" spans="1:14" x14ac:dyDescent="0.25">
      <c r="A10" s="1" t="s">
        <v>11</v>
      </c>
      <c r="B10" s="1">
        <v>3.5</v>
      </c>
      <c r="C10" s="3">
        <v>12</v>
      </c>
      <c r="D10" s="3">
        <f t="shared" si="0"/>
        <v>42</v>
      </c>
      <c r="F10" s="1" t="s">
        <v>11</v>
      </c>
      <c r="G10" s="1">
        <v>6</v>
      </c>
      <c r="H10" s="1">
        <v>12</v>
      </c>
      <c r="I10" s="3">
        <f t="shared" si="1"/>
        <v>72</v>
      </c>
    </row>
    <row r="11" spans="1:14" x14ac:dyDescent="0.25">
      <c r="A11" s="1" t="s">
        <v>12</v>
      </c>
      <c r="B11" s="1">
        <v>1</v>
      </c>
      <c r="C11" s="3"/>
      <c r="D11" s="3">
        <f>SUM(D8:D10)</f>
        <v>138.5</v>
      </c>
      <c r="F11" s="1" t="s">
        <v>12</v>
      </c>
      <c r="G11" s="1">
        <v>1</v>
      </c>
      <c r="H11" s="1"/>
      <c r="I11" s="3">
        <f>SUM(I8:I10)</f>
        <v>284.75</v>
      </c>
    </row>
    <row r="12" spans="1:14" x14ac:dyDescent="0.25">
      <c r="A12" s="61" t="s">
        <v>0</v>
      </c>
      <c r="B12" s="62"/>
      <c r="C12" s="63"/>
      <c r="D12" s="3">
        <f>B3</f>
        <v>150</v>
      </c>
      <c r="F12" s="61" t="s">
        <v>0</v>
      </c>
      <c r="G12" s="62"/>
      <c r="H12" s="63"/>
      <c r="I12" s="3">
        <f>B4</f>
        <v>300</v>
      </c>
    </row>
    <row r="13" spans="1:14" x14ac:dyDescent="0.25">
      <c r="A13" s="61" t="s">
        <v>13</v>
      </c>
      <c r="B13" s="62"/>
      <c r="C13" s="63"/>
      <c r="D13" s="3">
        <f>D12-D11</f>
        <v>11.5</v>
      </c>
      <c r="F13" s="61" t="s">
        <v>13</v>
      </c>
      <c r="G13" s="62"/>
      <c r="H13" s="63"/>
      <c r="I13" s="3">
        <f>I12-I11</f>
        <v>15.25</v>
      </c>
      <c r="K13" s="1"/>
      <c r="L13" s="14" t="s">
        <v>1</v>
      </c>
      <c r="M13" s="14" t="s">
        <v>14</v>
      </c>
      <c r="N13" s="14" t="s">
        <v>15</v>
      </c>
    </row>
    <row r="14" spans="1:14" x14ac:dyDescent="0.25">
      <c r="K14" s="1" t="s">
        <v>2</v>
      </c>
      <c r="L14" s="1">
        <v>1160</v>
      </c>
      <c r="M14" s="2">
        <f>L14*152</f>
        <v>176320</v>
      </c>
      <c r="N14" s="2">
        <f>144*L14</f>
        <v>167040</v>
      </c>
    </row>
    <row r="15" spans="1:14" x14ac:dyDescent="0.25">
      <c r="K15" s="1" t="s">
        <v>3</v>
      </c>
      <c r="L15" s="1">
        <v>460</v>
      </c>
      <c r="M15" s="2">
        <f>L15*290</f>
        <v>133400</v>
      </c>
      <c r="N15" s="2">
        <f>281*L15</f>
        <v>129260</v>
      </c>
    </row>
    <row r="16" spans="1:14" x14ac:dyDescent="0.25">
      <c r="A16" s="1"/>
      <c r="B16" s="60" t="s">
        <v>16</v>
      </c>
      <c r="C16" s="60"/>
      <c r="D16" s="60"/>
      <c r="E16" s="60" t="s">
        <v>17</v>
      </c>
      <c r="F16" s="60"/>
      <c r="G16" s="60"/>
      <c r="H16" s="60" t="s">
        <v>18</v>
      </c>
      <c r="K16" s="1" t="s">
        <v>19</v>
      </c>
      <c r="L16" s="1">
        <f>L14+L15</f>
        <v>1620</v>
      </c>
      <c r="M16" s="2">
        <f>M14+M15</f>
        <v>309720</v>
      </c>
      <c r="N16" s="2">
        <f t="shared" ref="N16" si="2">N14+N15</f>
        <v>296300</v>
      </c>
    </row>
    <row r="17" spans="1:13" x14ac:dyDescent="0.25">
      <c r="A17" s="1"/>
      <c r="B17" s="1" t="s">
        <v>1</v>
      </c>
      <c r="C17" s="1" t="s">
        <v>7</v>
      </c>
      <c r="D17" s="1" t="s">
        <v>20</v>
      </c>
      <c r="E17" s="1" t="s">
        <v>1</v>
      </c>
      <c r="F17" s="1" t="s">
        <v>7</v>
      </c>
      <c r="G17" s="1" t="s">
        <v>20</v>
      </c>
      <c r="H17" s="60"/>
    </row>
    <row r="18" spans="1:13" x14ac:dyDescent="0.25">
      <c r="A18" s="1" t="s">
        <v>2</v>
      </c>
      <c r="B18" s="1">
        <f>C3</f>
        <v>1200</v>
      </c>
      <c r="C18" s="3">
        <f>B3</f>
        <v>150</v>
      </c>
      <c r="D18" s="3">
        <f>B18*C18</f>
        <v>180000</v>
      </c>
      <c r="E18" s="1">
        <f>L14</f>
        <v>1160</v>
      </c>
      <c r="F18" s="3">
        <f>G18/E18</f>
        <v>152</v>
      </c>
      <c r="G18" s="3">
        <f>M14</f>
        <v>176320</v>
      </c>
      <c r="H18" s="3">
        <f>+D18-G18</f>
        <v>3680</v>
      </c>
      <c r="I18" t="s">
        <v>21</v>
      </c>
    </row>
    <row r="19" spans="1:13" x14ac:dyDescent="0.25">
      <c r="A19" s="1" t="s">
        <v>3</v>
      </c>
      <c r="B19" s="1">
        <f>C4</f>
        <v>400</v>
      </c>
      <c r="C19" s="3">
        <f>B4</f>
        <v>300</v>
      </c>
      <c r="D19" s="3">
        <f t="shared" ref="D19" si="3">B19*C19</f>
        <v>120000</v>
      </c>
      <c r="E19" s="1">
        <f>L15</f>
        <v>460</v>
      </c>
      <c r="F19" s="3">
        <f>G19/E19</f>
        <v>290</v>
      </c>
      <c r="G19" s="3">
        <f>M15</f>
        <v>133400</v>
      </c>
      <c r="H19" s="3">
        <f>+D19-G19</f>
        <v>-13400</v>
      </c>
      <c r="I19" t="s">
        <v>22</v>
      </c>
    </row>
    <row r="20" spans="1:13" x14ac:dyDescent="0.25">
      <c r="A20" s="4" t="s">
        <v>19</v>
      </c>
      <c r="B20" s="5">
        <f>SUM(B18:B19)</f>
        <v>1600</v>
      </c>
      <c r="C20" s="5">
        <f>+D20/B20</f>
        <v>187.5</v>
      </c>
      <c r="D20" s="6">
        <f>SUM(D18:D19)</f>
        <v>300000</v>
      </c>
      <c r="E20" s="5">
        <f>SUM(E18:E19)</f>
        <v>1620</v>
      </c>
      <c r="F20" s="5"/>
      <c r="G20" s="6">
        <f>SUM(G18:G19)</f>
        <v>309720</v>
      </c>
      <c r="H20" s="6">
        <f>SUM(H18:H19)</f>
        <v>-9720</v>
      </c>
      <c r="I20" t="s">
        <v>22</v>
      </c>
    </row>
    <row r="23" spans="1:13" x14ac:dyDescent="0.25">
      <c r="A23" s="58" t="s">
        <v>23</v>
      </c>
      <c r="B23" s="58"/>
      <c r="D23" s="58" t="s">
        <v>24</v>
      </c>
      <c r="E23" s="58"/>
    </row>
    <row r="24" spans="1:13" x14ac:dyDescent="0.25">
      <c r="A24" s="1" t="s">
        <v>2</v>
      </c>
      <c r="B24" s="3">
        <f>(C18-F18)*E18</f>
        <v>-2320</v>
      </c>
      <c r="C24" t="s">
        <v>22</v>
      </c>
      <c r="D24" s="1" t="s">
        <v>2</v>
      </c>
      <c r="E24" s="3">
        <f>(B18-E18)*C18</f>
        <v>6000</v>
      </c>
      <c r="F24" s="28"/>
    </row>
    <row r="25" spans="1:13" x14ac:dyDescent="0.25">
      <c r="A25" s="1" t="s">
        <v>3</v>
      </c>
      <c r="B25" s="3">
        <f>(C19-F19)*E19</f>
        <v>4600</v>
      </c>
      <c r="C25" t="s">
        <v>21</v>
      </c>
      <c r="D25" s="1" t="s">
        <v>3</v>
      </c>
      <c r="E25" s="3">
        <f>(B19-E19)*C19</f>
        <v>-18000</v>
      </c>
    </row>
    <row r="26" spans="1:13" x14ac:dyDescent="0.25">
      <c r="A26" t="s">
        <v>25</v>
      </c>
      <c r="B26" s="7">
        <f>SUM(B24:B25)</f>
        <v>2280</v>
      </c>
      <c r="D26" t="s">
        <v>26</v>
      </c>
      <c r="E26" s="7">
        <f>SUM(E24:E25)</f>
        <v>-12000</v>
      </c>
    </row>
    <row r="28" spans="1:13" ht="45" x14ac:dyDescent="0.25">
      <c r="A28" s="12" t="s">
        <v>27</v>
      </c>
      <c r="B28" s="16" t="s">
        <v>28</v>
      </c>
      <c r="C28" s="12" t="s">
        <v>29</v>
      </c>
      <c r="D28" s="12" t="s">
        <v>30</v>
      </c>
      <c r="E28" s="8" t="s">
        <v>18</v>
      </c>
      <c r="G28" s="12" t="s">
        <v>31</v>
      </c>
      <c r="H28" s="12" t="s">
        <v>32</v>
      </c>
      <c r="I28" s="16" t="s">
        <v>28</v>
      </c>
      <c r="J28" s="29" t="s">
        <v>40</v>
      </c>
      <c r="K28" s="12" t="s">
        <v>30</v>
      </c>
      <c r="L28" s="8" t="s">
        <v>18</v>
      </c>
    </row>
    <row r="29" spans="1:13" x14ac:dyDescent="0.25">
      <c r="A29" s="1" t="str">
        <f>+A24</f>
        <v>P1</v>
      </c>
      <c r="B29" s="10">
        <f>+E20*75%</f>
        <v>1215</v>
      </c>
      <c r="C29" s="10">
        <f>+B18</f>
        <v>1200</v>
      </c>
      <c r="D29" s="9">
        <f>+C18</f>
        <v>150</v>
      </c>
      <c r="E29" s="9">
        <f>(C29-B29)*D29</f>
        <v>-2250</v>
      </c>
      <c r="G29" s="1" t="str">
        <f>+A29</f>
        <v>P1</v>
      </c>
      <c r="H29" s="1">
        <f>E18</f>
        <v>1160</v>
      </c>
      <c r="I29" s="10">
        <f>B29</f>
        <v>1215</v>
      </c>
      <c r="J29" s="10">
        <f>H29-I29</f>
        <v>-55</v>
      </c>
      <c r="K29" s="9">
        <f>D29</f>
        <v>150</v>
      </c>
      <c r="L29" s="9">
        <f>(I29-H29)*K29</f>
        <v>8250</v>
      </c>
      <c r="M29" t="s">
        <v>21</v>
      </c>
    </row>
    <row r="30" spans="1:13" x14ac:dyDescent="0.25">
      <c r="A30" s="1" t="str">
        <f>+A25</f>
        <v>P2</v>
      </c>
      <c r="B30" s="10">
        <f>+E20*25%</f>
        <v>405</v>
      </c>
      <c r="C30" s="10">
        <f>+B19</f>
        <v>400</v>
      </c>
      <c r="D30" s="9">
        <f>+C19</f>
        <v>300</v>
      </c>
      <c r="E30" s="9">
        <f>(C30-B30)*D30</f>
        <v>-1500</v>
      </c>
      <c r="G30" s="1" t="str">
        <f>+A30</f>
        <v>P2</v>
      </c>
      <c r="H30" s="1">
        <f>E19</f>
        <v>460</v>
      </c>
      <c r="I30" s="10">
        <f>B30</f>
        <v>405</v>
      </c>
      <c r="J30" s="10">
        <f>H30-I30</f>
        <v>55</v>
      </c>
      <c r="K30" s="9">
        <f>D30</f>
        <v>300</v>
      </c>
      <c r="L30" s="9">
        <f>(I30-H30)*K30</f>
        <v>-16500</v>
      </c>
      <c r="M30" t="s">
        <v>22</v>
      </c>
    </row>
    <row r="31" spans="1:13" x14ac:dyDescent="0.25">
      <c r="A31" s="58" t="s">
        <v>19</v>
      </c>
      <c r="B31" s="58"/>
      <c r="C31" s="58"/>
      <c r="D31" s="58"/>
      <c r="E31" s="7">
        <f>SUM(E29:E30)</f>
        <v>-3750</v>
      </c>
      <c r="F31" t="s">
        <v>22</v>
      </c>
      <c r="G31" s="12" t="s">
        <v>19</v>
      </c>
      <c r="H31" s="12">
        <f>SUM(H29:H30)</f>
        <v>1620</v>
      </c>
      <c r="I31" s="25">
        <f>SUM(I29:I30)</f>
        <v>1620</v>
      </c>
      <c r="J31" s="1"/>
      <c r="K31" s="12"/>
      <c r="L31" s="7">
        <f>SUM(L29:L30)</f>
        <v>-8250</v>
      </c>
      <c r="M31" t="s">
        <v>22</v>
      </c>
    </row>
    <row r="33" spans="1:11" x14ac:dyDescent="0.25">
      <c r="A33" s="59">
        <f>C20*20</f>
        <v>3750</v>
      </c>
      <c r="B33" s="59"/>
      <c r="C33" s="11" t="s">
        <v>33</v>
      </c>
    </row>
    <row r="36" spans="1:11" ht="14.45" customHeight="1" x14ac:dyDescent="0.25">
      <c r="A36" s="15"/>
      <c r="B36" s="65" t="s">
        <v>34</v>
      </c>
      <c r="C36" s="66"/>
      <c r="D36" s="67"/>
      <c r="E36" s="65" t="s">
        <v>35</v>
      </c>
      <c r="F36" s="66"/>
      <c r="G36" s="67"/>
      <c r="H36" s="64" t="s">
        <v>18</v>
      </c>
    </row>
    <row r="37" spans="1:11" ht="30" x14ac:dyDescent="0.25">
      <c r="A37" s="15"/>
      <c r="B37" s="17" t="s">
        <v>1</v>
      </c>
      <c r="C37" s="17" t="s">
        <v>36</v>
      </c>
      <c r="D37" s="17" t="s">
        <v>37</v>
      </c>
      <c r="E37" s="18" t="s">
        <v>1</v>
      </c>
      <c r="F37" s="17" t="s">
        <v>36</v>
      </c>
      <c r="G37" s="17" t="s">
        <v>37</v>
      </c>
      <c r="H37" s="64"/>
    </row>
    <row r="38" spans="1:11" x14ac:dyDescent="0.25">
      <c r="A38" s="1" t="s">
        <v>2</v>
      </c>
      <c r="B38" s="1">
        <f>B18</f>
        <v>1200</v>
      </c>
      <c r="C38" s="3">
        <f>D13</f>
        <v>11.5</v>
      </c>
      <c r="D38" s="3">
        <f>B38*C38</f>
        <v>13800</v>
      </c>
      <c r="E38" s="1">
        <f>E18</f>
        <v>1160</v>
      </c>
      <c r="F38" s="3">
        <f>F18-D11</f>
        <v>13.5</v>
      </c>
      <c r="G38" s="3">
        <f>E38*F38</f>
        <v>15660</v>
      </c>
      <c r="H38" s="19">
        <f>D38-G38</f>
        <v>-1860</v>
      </c>
      <c r="I38" t="s">
        <v>22</v>
      </c>
    </row>
    <row r="39" spans="1:11" x14ac:dyDescent="0.25">
      <c r="A39" s="1" t="s">
        <v>3</v>
      </c>
      <c r="B39" s="1">
        <f>B19</f>
        <v>400</v>
      </c>
      <c r="C39" s="3">
        <f>I13</f>
        <v>15.25</v>
      </c>
      <c r="D39" s="3">
        <f>B39*C39</f>
        <v>6100</v>
      </c>
      <c r="E39" s="20">
        <f>E19</f>
        <v>460</v>
      </c>
      <c r="F39" s="3">
        <f>F19-I11</f>
        <v>5.25</v>
      </c>
      <c r="G39" s="3">
        <f>E39*F39</f>
        <v>2415</v>
      </c>
      <c r="H39" s="19">
        <f>D39-G39</f>
        <v>3685</v>
      </c>
      <c r="I39" t="s">
        <v>21</v>
      </c>
    </row>
    <row r="40" spans="1:11" x14ac:dyDescent="0.25">
      <c r="A40" s="22" t="s">
        <v>19</v>
      </c>
      <c r="B40" s="22">
        <f>+B38+B39</f>
        <v>1600</v>
      </c>
      <c r="C40" s="22">
        <f>+D40/B40</f>
        <v>12.4375</v>
      </c>
      <c r="D40" s="23">
        <f>+D38+D39</f>
        <v>19900</v>
      </c>
      <c r="E40" s="22">
        <f>+E38+E39</f>
        <v>1620</v>
      </c>
      <c r="F40" s="22"/>
      <c r="G40" s="23">
        <f>+G38+G39</f>
        <v>18075</v>
      </c>
      <c r="H40" s="21">
        <f>SUM(H38:H39)</f>
        <v>1825</v>
      </c>
      <c r="I40" t="s">
        <v>21</v>
      </c>
    </row>
    <row r="43" spans="1:11" x14ac:dyDescent="0.25">
      <c r="A43" s="58" t="s">
        <v>38</v>
      </c>
      <c r="B43" s="58"/>
      <c r="D43" s="58" t="s">
        <v>24</v>
      </c>
      <c r="E43" s="58"/>
    </row>
    <row r="44" spans="1:11" x14ac:dyDescent="0.25">
      <c r="A44" s="1" t="s">
        <v>2</v>
      </c>
      <c r="B44" s="3">
        <f>(C38-F38)*E38</f>
        <v>-2320</v>
      </c>
      <c r="D44" s="1" t="s">
        <v>2</v>
      </c>
      <c r="E44" s="3">
        <f>(B38-E38)*C38</f>
        <v>460</v>
      </c>
    </row>
    <row r="45" spans="1:11" x14ac:dyDescent="0.25">
      <c r="A45" s="1" t="s">
        <v>3</v>
      </c>
      <c r="B45" s="3">
        <f>(C39-F39)*E39</f>
        <v>4600</v>
      </c>
      <c r="D45" s="1" t="s">
        <v>3</v>
      </c>
      <c r="E45" s="3">
        <f>(B39-E39)*C39</f>
        <v>-915</v>
      </c>
    </row>
    <row r="46" spans="1:11" x14ac:dyDescent="0.25">
      <c r="B46" s="7">
        <f>SUM(B44:B45)</f>
        <v>2280</v>
      </c>
      <c r="C46" t="s">
        <v>21</v>
      </c>
      <c r="E46" s="7">
        <f>SUM(E44:E45)</f>
        <v>-455</v>
      </c>
      <c r="F46" t="s">
        <v>22</v>
      </c>
    </row>
    <row r="48" spans="1:11" ht="45" x14ac:dyDescent="0.25">
      <c r="A48" s="12" t="s">
        <v>27</v>
      </c>
      <c r="B48" s="16" t="s">
        <v>28</v>
      </c>
      <c r="C48" s="12" t="s">
        <v>29</v>
      </c>
      <c r="D48" s="12" t="s">
        <v>34</v>
      </c>
      <c r="E48" s="8" t="s">
        <v>18</v>
      </c>
      <c r="G48" s="12" t="s">
        <v>31</v>
      </c>
      <c r="H48" s="12" t="s">
        <v>32</v>
      </c>
      <c r="I48" s="16" t="s">
        <v>28</v>
      </c>
      <c r="J48" s="12" t="s">
        <v>34</v>
      </c>
      <c r="K48" s="8" t="s">
        <v>18</v>
      </c>
    </row>
    <row r="49" spans="1:12" x14ac:dyDescent="0.25">
      <c r="A49" s="1" t="str">
        <f>+A44</f>
        <v>P1</v>
      </c>
      <c r="B49" s="10">
        <f>B29</f>
        <v>1215</v>
      </c>
      <c r="C49" s="10">
        <f>+B38</f>
        <v>1200</v>
      </c>
      <c r="D49" s="9">
        <f>+C38</f>
        <v>11.5</v>
      </c>
      <c r="E49" s="9">
        <f>(C49-B49)*D49</f>
        <v>-172.5</v>
      </c>
      <c r="G49" s="1" t="str">
        <f>+A49</f>
        <v>P1</v>
      </c>
      <c r="H49" s="1">
        <f>E38</f>
        <v>1160</v>
      </c>
      <c r="I49" s="10">
        <f>B49</f>
        <v>1215</v>
      </c>
      <c r="J49" s="9">
        <f>D49</f>
        <v>11.5</v>
      </c>
      <c r="K49" s="9">
        <f>(I49-H49)*J49</f>
        <v>632.5</v>
      </c>
    </row>
    <row r="50" spans="1:12" x14ac:dyDescent="0.25">
      <c r="A50" s="1" t="str">
        <f>+A45</f>
        <v>P2</v>
      </c>
      <c r="B50" s="10">
        <f>B30</f>
        <v>405</v>
      </c>
      <c r="C50" s="10">
        <f>+B39</f>
        <v>400</v>
      </c>
      <c r="D50" s="9">
        <f>+C39</f>
        <v>15.25</v>
      </c>
      <c r="E50" s="9">
        <f>(C50-B50)*D50</f>
        <v>-76.25</v>
      </c>
      <c r="G50" s="1" t="str">
        <f>+A50</f>
        <v>P2</v>
      </c>
      <c r="H50" s="1">
        <f>E39</f>
        <v>460</v>
      </c>
      <c r="I50" s="10">
        <f>B50</f>
        <v>405</v>
      </c>
      <c r="J50" s="9">
        <f>D50</f>
        <v>15.25</v>
      </c>
      <c r="K50" s="9">
        <f>(I50-H50)*J50</f>
        <v>-838.75</v>
      </c>
    </row>
    <row r="51" spans="1:12" x14ac:dyDescent="0.25">
      <c r="A51" s="58" t="s">
        <v>19</v>
      </c>
      <c r="B51" s="58"/>
      <c r="C51" s="58"/>
      <c r="D51" s="58"/>
      <c r="E51" s="7">
        <f>SUM(E49:E50)</f>
        <v>-248.75</v>
      </c>
      <c r="F51" t="s">
        <v>22</v>
      </c>
      <c r="G51" s="12" t="s">
        <v>19</v>
      </c>
      <c r="H51" s="12"/>
      <c r="I51" s="12"/>
      <c r="J51" s="12"/>
      <c r="K51" s="7">
        <f>SUM(K49:K50)</f>
        <v>-206.25</v>
      </c>
      <c r="L51" t="s">
        <v>22</v>
      </c>
    </row>
    <row r="53" spans="1:12" x14ac:dyDescent="0.25">
      <c r="A53" t="s">
        <v>39</v>
      </c>
      <c r="B53" s="24">
        <f>20*12.4375</f>
        <v>248.75</v>
      </c>
      <c r="C53" t="s">
        <v>22</v>
      </c>
    </row>
  </sheetData>
  <mergeCells count="19">
    <mergeCell ref="A43:B43"/>
    <mergeCell ref="D43:E43"/>
    <mergeCell ref="A51:D51"/>
    <mergeCell ref="H36:H37"/>
    <mergeCell ref="B36:D36"/>
    <mergeCell ref="E36:G36"/>
    <mergeCell ref="A6:D6"/>
    <mergeCell ref="F6:I6"/>
    <mergeCell ref="F12:H12"/>
    <mergeCell ref="F13:H13"/>
    <mergeCell ref="A12:C12"/>
    <mergeCell ref="A13:C13"/>
    <mergeCell ref="A31:D31"/>
    <mergeCell ref="A33:B33"/>
    <mergeCell ref="B16:D16"/>
    <mergeCell ref="E16:G16"/>
    <mergeCell ref="H16:H17"/>
    <mergeCell ref="A23:B23"/>
    <mergeCell ref="D23:E2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7"/>
  <sheetViews>
    <sheetView showGridLines="0" tabSelected="1" zoomScale="87" zoomScaleNormal="87" workbookViewId="0">
      <selection activeCell="D27" sqref="D27"/>
    </sheetView>
  </sheetViews>
  <sheetFormatPr baseColWidth="10" defaultRowHeight="15" x14ac:dyDescent="0.25"/>
  <cols>
    <col min="1" max="1" width="19.85546875" customWidth="1"/>
    <col min="2" max="2" width="17.28515625" customWidth="1"/>
    <col min="3" max="3" width="16.28515625" customWidth="1"/>
    <col min="4" max="5" width="15.85546875" customWidth="1"/>
    <col min="6" max="6" width="13.42578125" bestFit="1" customWidth="1"/>
    <col min="7" max="7" width="18.85546875" customWidth="1"/>
    <col min="8" max="8" width="18.5703125" customWidth="1"/>
  </cols>
  <sheetData>
    <row r="2" spans="1:9" x14ac:dyDescent="0.25">
      <c r="B2" s="60" t="s">
        <v>62</v>
      </c>
      <c r="C2" s="60"/>
      <c r="D2" s="60"/>
      <c r="E2" s="60" t="s">
        <v>63</v>
      </c>
      <c r="F2" s="60"/>
      <c r="G2" s="60"/>
    </row>
    <row r="3" spans="1:9" ht="30" x14ac:dyDescent="0.25">
      <c r="A3" s="40" t="s">
        <v>59</v>
      </c>
      <c r="B3" s="41" t="s">
        <v>60</v>
      </c>
      <c r="C3" s="41" t="s">
        <v>54</v>
      </c>
      <c r="D3" s="41" t="s">
        <v>65</v>
      </c>
      <c r="E3" s="40" t="s">
        <v>34</v>
      </c>
      <c r="F3" s="41" t="s">
        <v>57</v>
      </c>
      <c r="G3" s="41" t="s">
        <v>64</v>
      </c>
      <c r="H3" s="29" t="s">
        <v>61</v>
      </c>
    </row>
    <row r="4" spans="1:9" x14ac:dyDescent="0.25">
      <c r="A4" s="1" t="s">
        <v>41</v>
      </c>
      <c r="B4" s="43">
        <f>126-98</f>
        <v>28</v>
      </c>
      <c r="C4" s="44">
        <v>6400</v>
      </c>
      <c r="D4" s="45">
        <f>B4*C4</f>
        <v>179200</v>
      </c>
      <c r="E4" s="43">
        <f>150-98</f>
        <v>52</v>
      </c>
      <c r="F4" s="44">
        <v>5000</v>
      </c>
      <c r="G4" s="7">
        <f>E4*F4</f>
        <v>260000</v>
      </c>
      <c r="H4" s="3">
        <f>D4-G4</f>
        <v>-80800</v>
      </c>
    </row>
    <row r="5" spans="1:9" x14ac:dyDescent="0.25">
      <c r="A5" s="1" t="s">
        <v>52</v>
      </c>
      <c r="B5" s="3">
        <f>200-115.5</f>
        <v>84.5</v>
      </c>
      <c r="C5" s="10">
        <v>5800</v>
      </c>
      <c r="D5" s="7">
        <f t="shared" ref="D5:D6" si="0">B5*C5</f>
        <v>490100</v>
      </c>
      <c r="E5" s="3">
        <f>210-115.5</f>
        <v>94.5</v>
      </c>
      <c r="F5" s="10">
        <v>8000</v>
      </c>
      <c r="G5" s="7">
        <f t="shared" ref="G5:G6" si="1">E5*F5</f>
        <v>756000</v>
      </c>
      <c r="H5" s="3">
        <f t="shared" ref="H5:H6" si="2">D5-G5</f>
        <v>-265900</v>
      </c>
    </row>
    <row r="6" spans="1:9" x14ac:dyDescent="0.25">
      <c r="A6" s="1" t="s">
        <v>42</v>
      </c>
      <c r="B6" s="3">
        <f>260-184</f>
        <v>76</v>
      </c>
      <c r="C6" s="10">
        <v>4700</v>
      </c>
      <c r="D6" s="7">
        <f t="shared" si="0"/>
        <v>357200</v>
      </c>
      <c r="E6" s="3">
        <f>260-184</f>
        <v>76</v>
      </c>
      <c r="F6" s="10">
        <v>6000</v>
      </c>
      <c r="G6" s="7">
        <f t="shared" si="1"/>
        <v>456000</v>
      </c>
      <c r="H6" s="3">
        <f t="shared" si="2"/>
        <v>-98800</v>
      </c>
    </row>
    <row r="7" spans="1:9" x14ac:dyDescent="0.25">
      <c r="A7" s="52" t="s">
        <v>19</v>
      </c>
      <c r="F7" s="53">
        <f>SUM(F4:F6)</f>
        <v>19000</v>
      </c>
      <c r="G7" s="28">
        <f>SUM(G4:G6)</f>
        <v>1472000</v>
      </c>
      <c r="H7" s="46">
        <f>SUM(H4:H6)</f>
        <v>-445500</v>
      </c>
      <c r="I7" t="s">
        <v>21</v>
      </c>
    </row>
    <row r="9" spans="1:9" x14ac:dyDescent="0.25">
      <c r="G9" s="28">
        <f>G4+G5+G6</f>
        <v>1472000</v>
      </c>
      <c r="H9" s="50">
        <f>SUM(F4:F6)</f>
        <v>19000</v>
      </c>
    </row>
    <row r="10" spans="1:9" ht="30" x14ac:dyDescent="0.25">
      <c r="A10" s="40" t="s">
        <v>53</v>
      </c>
      <c r="B10" s="40" t="s">
        <v>35</v>
      </c>
      <c r="C10" s="40" t="s">
        <v>34</v>
      </c>
      <c r="D10" s="41" t="s">
        <v>54</v>
      </c>
      <c r="E10" s="29" t="s">
        <v>55</v>
      </c>
      <c r="H10" s="51">
        <f>G9/H9</f>
        <v>77.473684210526315</v>
      </c>
    </row>
    <row r="11" spans="1:9" x14ac:dyDescent="0.25">
      <c r="A11" s="1" t="s">
        <v>41</v>
      </c>
      <c r="B11" s="43">
        <f>126-98</f>
        <v>28</v>
      </c>
      <c r="C11" s="43">
        <f>150-98</f>
        <v>52</v>
      </c>
      <c r="D11" s="44">
        <v>6400</v>
      </c>
      <c r="E11" s="3">
        <f>(B11-C11)*D11</f>
        <v>-153600</v>
      </c>
      <c r="F11" t="s">
        <v>21</v>
      </c>
    </row>
    <row r="12" spans="1:9" x14ac:dyDescent="0.25">
      <c r="A12" s="1" t="s">
        <v>52</v>
      </c>
      <c r="B12" s="3">
        <f>200-115.5</f>
        <v>84.5</v>
      </c>
      <c r="C12" s="3">
        <f>210-115.5</f>
        <v>94.5</v>
      </c>
      <c r="D12" s="10">
        <v>5800</v>
      </c>
      <c r="E12" s="3">
        <f t="shared" ref="E12:E13" si="3">(B12-C12)*D12</f>
        <v>-58000</v>
      </c>
      <c r="F12" t="s">
        <v>21</v>
      </c>
    </row>
    <row r="13" spans="1:9" x14ac:dyDescent="0.25">
      <c r="A13" s="1" t="s">
        <v>42</v>
      </c>
      <c r="B13" s="3">
        <f>260-184</f>
        <v>76</v>
      </c>
      <c r="C13" s="3">
        <f>260-184</f>
        <v>76</v>
      </c>
      <c r="D13" s="10">
        <v>4700</v>
      </c>
      <c r="E13" s="3">
        <f t="shared" si="3"/>
        <v>0</v>
      </c>
    </row>
    <row r="14" spans="1:9" x14ac:dyDescent="0.25">
      <c r="E14" s="48">
        <f>+SUM(E11:E13)</f>
        <v>-211600</v>
      </c>
      <c r="F14" t="s">
        <v>21</v>
      </c>
    </row>
    <row r="15" spans="1:9" x14ac:dyDescent="0.25">
      <c r="E15" s="28"/>
    </row>
    <row r="16" spans="1:9" ht="30" x14ac:dyDescent="0.25">
      <c r="A16" s="40" t="s">
        <v>56</v>
      </c>
      <c r="B16" s="42" t="s">
        <v>54</v>
      </c>
      <c r="C16" s="40" t="s">
        <v>57</v>
      </c>
      <c r="D16" s="41" t="s">
        <v>34</v>
      </c>
      <c r="E16" s="29" t="s">
        <v>58</v>
      </c>
      <c r="G16" s="28">
        <f>E14+E20</f>
        <v>-445500</v>
      </c>
    </row>
    <row r="17" spans="1:8" x14ac:dyDescent="0.25">
      <c r="A17" s="1" t="s">
        <v>41</v>
      </c>
      <c r="B17" s="47">
        <v>6400</v>
      </c>
      <c r="C17" s="47">
        <v>5000</v>
      </c>
      <c r="D17" s="43">
        <f>C11</f>
        <v>52</v>
      </c>
      <c r="E17" s="3">
        <f>(B17-C17)*D17</f>
        <v>72800</v>
      </c>
    </row>
    <row r="18" spans="1:8" x14ac:dyDescent="0.25">
      <c r="A18" s="1" t="s">
        <v>52</v>
      </c>
      <c r="B18" s="47">
        <v>5800</v>
      </c>
      <c r="C18" s="47">
        <v>8000</v>
      </c>
      <c r="D18" s="43">
        <f t="shared" ref="D18:D19" si="4">C12</f>
        <v>94.5</v>
      </c>
      <c r="E18" s="3">
        <f t="shared" ref="E18:E19" si="5">(B18-C18)*D18</f>
        <v>-207900</v>
      </c>
    </row>
    <row r="19" spans="1:8" x14ac:dyDescent="0.25">
      <c r="A19" s="1" t="s">
        <v>42</v>
      </c>
      <c r="B19" s="47">
        <v>4700</v>
      </c>
      <c r="C19" s="47">
        <v>6000</v>
      </c>
      <c r="D19" s="43">
        <f t="shared" si="4"/>
        <v>76</v>
      </c>
      <c r="E19" s="3">
        <f t="shared" si="5"/>
        <v>-98800</v>
      </c>
    </row>
    <row r="20" spans="1:8" x14ac:dyDescent="0.25">
      <c r="B20">
        <f>+SUM(B17:B19)</f>
        <v>16900</v>
      </c>
      <c r="C20">
        <f>+SUM(C17:C19)</f>
        <v>19000</v>
      </c>
      <c r="E20" s="49">
        <f>SUM(E17:E19)</f>
        <v>-233900</v>
      </c>
    </row>
    <row r="21" spans="1:8" x14ac:dyDescent="0.25">
      <c r="E21" s="28"/>
    </row>
    <row r="22" spans="1:8" x14ac:dyDescent="0.25">
      <c r="A22" s="33" t="s">
        <v>45</v>
      </c>
      <c r="B22" s="34">
        <v>-162687</v>
      </c>
      <c r="E22" s="28"/>
    </row>
    <row r="23" spans="1:8" x14ac:dyDescent="0.25">
      <c r="E23" s="28"/>
    </row>
    <row r="24" spans="1:8" x14ac:dyDescent="0.25">
      <c r="E24" s="28"/>
      <c r="H24" s="28"/>
    </row>
    <row r="25" spans="1:8" x14ac:dyDescent="0.25">
      <c r="E25" s="28"/>
    </row>
    <row r="26" spans="1:8" ht="30" x14ac:dyDescent="0.25">
      <c r="A26" s="26" t="s">
        <v>31</v>
      </c>
      <c r="B26" s="26" t="s">
        <v>32</v>
      </c>
      <c r="C26" s="26" t="s">
        <v>43</v>
      </c>
      <c r="D26" s="27" t="s">
        <v>28</v>
      </c>
      <c r="E26" s="29" t="s">
        <v>40</v>
      </c>
      <c r="F26" s="26" t="s">
        <v>34</v>
      </c>
      <c r="G26" s="8" t="s">
        <v>18</v>
      </c>
    </row>
    <row r="27" spans="1:8" x14ac:dyDescent="0.25">
      <c r="A27" s="1" t="s">
        <v>41</v>
      </c>
      <c r="B27" s="20">
        <v>6400</v>
      </c>
      <c r="C27" s="56">
        <v>0.26319999999999999</v>
      </c>
      <c r="D27" s="57">
        <f>$B$30*C27</f>
        <v>4448.08</v>
      </c>
      <c r="E27" s="10">
        <f>B27-D27</f>
        <v>1951.92</v>
      </c>
      <c r="F27" s="9">
        <v>52</v>
      </c>
      <c r="G27" s="9">
        <f>1952*52</f>
        <v>101504</v>
      </c>
      <c r="H27" t="s">
        <v>22</v>
      </c>
    </row>
    <row r="28" spans="1:8" x14ac:dyDescent="0.25">
      <c r="A28" s="1" t="s">
        <v>52</v>
      </c>
      <c r="B28" s="1">
        <v>5800</v>
      </c>
      <c r="C28" s="30">
        <v>0.42099999999999999</v>
      </c>
      <c r="D28" s="10">
        <f>B30*C28</f>
        <v>7114.9</v>
      </c>
      <c r="E28" s="10">
        <f t="shared" ref="E28:E29" si="6">B28-D28</f>
        <v>-1314.8999999999996</v>
      </c>
      <c r="F28" s="9">
        <v>94.5</v>
      </c>
      <c r="G28" s="9">
        <f>-1315*94.5</f>
        <v>-124267.5</v>
      </c>
      <c r="H28" t="s">
        <v>21</v>
      </c>
    </row>
    <row r="29" spans="1:8" x14ac:dyDescent="0.25">
      <c r="A29" s="1" t="s">
        <v>42</v>
      </c>
      <c r="B29" s="1">
        <v>4700</v>
      </c>
      <c r="C29" s="30">
        <v>0.31580000000000003</v>
      </c>
      <c r="D29" s="10">
        <f>B30*C29</f>
        <v>5337.02</v>
      </c>
      <c r="E29" s="10">
        <f t="shared" si="6"/>
        <v>-637.02000000000044</v>
      </c>
      <c r="F29" s="9">
        <v>76</v>
      </c>
      <c r="G29" s="9">
        <f>-637*76</f>
        <v>-48412</v>
      </c>
      <c r="H29" t="s">
        <v>21</v>
      </c>
    </row>
    <row r="30" spans="1:8" x14ac:dyDescent="0.25">
      <c r="A30" s="26" t="s">
        <v>19</v>
      </c>
      <c r="B30" s="26">
        <f>SUM(B27:B29)</f>
        <v>16900</v>
      </c>
      <c r="C30" s="31">
        <f>SUM(C27:C29)</f>
        <v>1</v>
      </c>
      <c r="D30" s="32">
        <f>SUM(D27:D29)</f>
        <v>16900</v>
      </c>
      <c r="E30" s="10">
        <f>1952-1315-637</f>
        <v>0</v>
      </c>
      <c r="F30" s="26"/>
      <c r="G30" s="7">
        <f>SUM(G27:G29)</f>
        <v>-71175.5</v>
      </c>
      <c r="H30" t="s">
        <v>21</v>
      </c>
    </row>
    <row r="32" spans="1:8" x14ac:dyDescent="0.25">
      <c r="A32" s="38" t="s">
        <v>44</v>
      </c>
      <c r="B32" s="39">
        <f>G30</f>
        <v>-71175.5</v>
      </c>
      <c r="C32" t="s">
        <v>21</v>
      </c>
    </row>
    <row r="33" spans="1:6" x14ac:dyDescent="0.25">
      <c r="A33" s="33" t="s">
        <v>45</v>
      </c>
      <c r="B33" s="34">
        <v>-162687</v>
      </c>
      <c r="C33" s="54"/>
    </row>
    <row r="34" spans="1:6" x14ac:dyDescent="0.25">
      <c r="A34" s="54"/>
      <c r="B34" s="35">
        <f>B32+B33</f>
        <v>-233862.5</v>
      </c>
      <c r="C34" s="54"/>
      <c r="D34" s="36">
        <f>5000/19000</f>
        <v>0.26315789473684209</v>
      </c>
      <c r="E34" s="11" t="s">
        <v>46</v>
      </c>
      <c r="F34" t="s">
        <v>49</v>
      </c>
    </row>
    <row r="35" spans="1:6" x14ac:dyDescent="0.25">
      <c r="A35" s="54"/>
      <c r="B35" s="55"/>
      <c r="C35" s="54"/>
      <c r="D35" s="36">
        <f>8000/19000</f>
        <v>0.42105263157894735</v>
      </c>
      <c r="E35" s="11" t="s">
        <v>47</v>
      </c>
      <c r="F35" t="s">
        <v>50</v>
      </c>
    </row>
    <row r="36" spans="1:6" x14ac:dyDescent="0.25">
      <c r="A36" s="54"/>
      <c r="B36" s="35"/>
      <c r="C36" s="54"/>
      <c r="D36" s="36">
        <f>6000/19000</f>
        <v>0.31578947368421051</v>
      </c>
      <c r="E36" s="11" t="s">
        <v>48</v>
      </c>
      <c r="F36" t="s">
        <v>51</v>
      </c>
    </row>
    <row r="37" spans="1:6" x14ac:dyDescent="0.25">
      <c r="D37" s="37">
        <f>SUM(D34:D36)</f>
        <v>0.99999999999999989</v>
      </c>
    </row>
  </sheetData>
  <mergeCells count="2">
    <mergeCell ref="B2:D2"/>
    <mergeCell ref="E2:G2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NOEL Eric</dc:creator>
  <cp:keywords/>
  <dc:description/>
  <cp:lastModifiedBy>NOEL Eric</cp:lastModifiedBy>
  <cp:revision/>
  <dcterms:created xsi:type="dcterms:W3CDTF">2018-12-18T10:24:16Z</dcterms:created>
  <dcterms:modified xsi:type="dcterms:W3CDTF">2020-12-29T08:18:03Z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2c35ce50-ea59-469a-8899-44ab6e14b6b7</vt:lpwstr>
  </property>
</Properties>
</file>