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41M13 - M41F13\Année 2020 2021\Theme 2 Les écarts sur CA\"/>
    </mc:Choice>
  </mc:AlternateContent>
  <xr:revisionPtr revIDLastSave="10" documentId="11_FB978B0D5DF6D38BB383FCDFE52C6A5B5F43ACFA" xr6:coauthVersionLast="36" xr6:coauthVersionMax="36" xr10:uidLastSave="{1537E328-803A-4735-AE8D-1D9EFD5EE8E4}"/>
  <bookViews>
    <workbookView xWindow="120" yWindow="105" windowWidth="28515" windowHeight="1260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B30" i="1" l="1"/>
  <c r="F44" i="1" l="1"/>
  <c r="E59" i="1" l="1"/>
  <c r="G56" i="2" l="1"/>
  <c r="E2" i="2" l="1"/>
  <c r="B46" i="2"/>
  <c r="B45" i="2"/>
  <c r="B47" i="2" s="1"/>
  <c r="B54" i="2" s="1"/>
  <c r="B23" i="1"/>
  <c r="C23" i="2" l="1"/>
  <c r="D23" i="2" s="1"/>
  <c r="E23" i="2"/>
  <c r="F23" i="2"/>
  <c r="B24" i="2"/>
  <c r="C24" i="2"/>
  <c r="D24" i="2" s="1"/>
  <c r="E24" i="2"/>
  <c r="F24" i="2"/>
  <c r="B25" i="2"/>
  <c r="F25" i="2"/>
  <c r="B26" i="2"/>
  <c r="C26" i="2"/>
  <c r="D26" i="2"/>
  <c r="B53" i="2" s="1"/>
  <c r="F26" i="2"/>
  <c r="D7" i="2"/>
  <c r="D25" i="2" s="1"/>
  <c r="C25" i="2" s="1"/>
  <c r="A24" i="2"/>
  <c r="A25" i="2"/>
  <c r="A26" i="2"/>
  <c r="A23" i="2"/>
  <c r="G24" i="2" l="1"/>
  <c r="H24" i="2" s="1"/>
  <c r="G23" i="2"/>
  <c r="B31" i="2"/>
  <c r="D27" i="2"/>
  <c r="C27" i="2" s="1"/>
  <c r="H23" i="2"/>
  <c r="D14" i="2" l="1"/>
  <c r="B16" i="2"/>
  <c r="E26" i="2" s="1"/>
  <c r="B15" i="2"/>
  <c r="E25" i="2" s="1"/>
  <c r="D13" i="2"/>
  <c r="D6" i="2"/>
  <c r="D5" i="2"/>
  <c r="D67" i="1"/>
  <c r="D59" i="1"/>
  <c r="F36" i="1"/>
  <c r="F37" i="1"/>
  <c r="F35" i="1"/>
  <c r="B43" i="1"/>
  <c r="B44" i="1"/>
  <c r="B42" i="1"/>
  <c r="B24" i="1"/>
  <c r="B25" i="1"/>
  <c r="B26" i="1" l="1"/>
  <c r="B30" i="2"/>
  <c r="B32" i="2" s="1"/>
  <c r="A34" i="2"/>
  <c r="B45" i="1"/>
  <c r="B55" i="2"/>
  <c r="B56" i="2" s="1"/>
  <c r="G26" i="2"/>
  <c r="H26" i="2" s="1"/>
  <c r="B51" i="2" s="1"/>
  <c r="D16" i="2"/>
  <c r="G25" i="2"/>
  <c r="D15" i="2"/>
  <c r="D60" i="1"/>
  <c r="E60" i="1" s="1"/>
  <c r="E61" i="1" s="1"/>
  <c r="D9" i="2"/>
  <c r="C9" i="2" s="1"/>
  <c r="D17" i="2" l="1"/>
  <c r="C17" i="2" s="1"/>
  <c r="H25" i="2"/>
  <c r="G27" i="2"/>
  <c r="D36" i="1"/>
  <c r="D37" i="1"/>
  <c r="D35" i="1"/>
  <c r="D38" i="1" s="1"/>
  <c r="B12" i="1"/>
  <c r="B13" i="1"/>
  <c r="E9" i="1"/>
  <c r="B37" i="1" s="1"/>
  <c r="C9" i="1"/>
  <c r="C12" i="1" l="1"/>
  <c r="C37" i="1"/>
  <c r="E37" i="1" s="1"/>
  <c r="G37" i="1" s="1"/>
  <c r="B14" i="1"/>
  <c r="B36" i="1"/>
  <c r="C36" i="1" s="1"/>
  <c r="E36" i="1" s="1"/>
  <c r="G36" i="1" s="1"/>
  <c r="D65" i="1"/>
  <c r="B17" i="1"/>
  <c r="F27" i="2"/>
  <c r="H27" i="2"/>
  <c r="B35" i="1"/>
  <c r="C35" i="1" s="1"/>
  <c r="B18" i="1"/>
  <c r="C13" i="1"/>
  <c r="C38" i="1" l="1"/>
  <c r="D66" i="1"/>
  <c r="D68" i="1" s="1"/>
  <c r="B38" i="1"/>
  <c r="E35" i="1"/>
  <c r="G35" i="1" l="1"/>
  <c r="G38" i="1" s="1"/>
  <c r="E38" i="1"/>
  <c r="B31" i="1" l="1"/>
  <c r="B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Prix moyen de N-2: 
1241690 / 10288 nuits = 120,69€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3708/10288 = 36,04%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36,04% * 9500 = 3424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210000*40%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84000/125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126000/100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<sst xmlns="http://schemas.openxmlformats.org/spreadsheetml/2006/main" count="134" uniqueCount="99">
  <si>
    <t>Année N-1</t>
  </si>
  <si>
    <t>Année N-2</t>
  </si>
  <si>
    <t>Prix</t>
  </si>
  <si>
    <t>Nb Nuits</t>
  </si>
  <si>
    <t>Basse saison</t>
  </si>
  <si>
    <t>Moyenne saison</t>
  </si>
  <si>
    <t>Haute saison</t>
  </si>
  <si>
    <t>CA N-1</t>
  </si>
  <si>
    <t>CA N-2</t>
  </si>
  <si>
    <t>Ecart</t>
  </si>
  <si>
    <t>Taux N-1</t>
  </si>
  <si>
    <t>Taux N-2</t>
  </si>
  <si>
    <t>Ecart / Prix</t>
  </si>
  <si>
    <t>Volume</t>
  </si>
  <si>
    <t>Composition</t>
  </si>
  <si>
    <t>N-2</t>
  </si>
  <si>
    <t>E/ Quantité</t>
  </si>
  <si>
    <t>F</t>
  </si>
  <si>
    <t>D</t>
  </si>
  <si>
    <t>Quantité</t>
  </si>
  <si>
    <t>P.U.</t>
  </si>
  <si>
    <t>Montant</t>
  </si>
  <si>
    <t>Plastique</t>
  </si>
  <si>
    <t>Autres composants</t>
  </si>
  <si>
    <t>MOD</t>
  </si>
  <si>
    <t>Charges de l'atelier</t>
  </si>
  <si>
    <t xml:space="preserve">              </t>
  </si>
  <si>
    <t>COUT TOTAL REEL</t>
  </si>
  <si>
    <t>COUT PREVU ADAPTE A LA PRODUCTION REELLE</t>
  </si>
  <si>
    <t>Coût Unitaire</t>
  </si>
  <si>
    <t>Ecart global</t>
  </si>
  <si>
    <t>TOTAL</t>
  </si>
  <si>
    <t>COUT REEL (3850 Unités)</t>
  </si>
  <si>
    <t>si gain de productivité &gt; 5% prime globale de 3000€</t>
  </si>
  <si>
    <t>Respect de la prime</t>
  </si>
  <si>
    <t>Centre Atelier</t>
  </si>
  <si>
    <t>ECART GLOBAL</t>
  </si>
  <si>
    <t>Défavorable</t>
  </si>
  <si>
    <t>Budget flexible</t>
  </si>
  <si>
    <t>Activité</t>
  </si>
  <si>
    <t>Ecart sur budget</t>
  </si>
  <si>
    <t>Charges variables</t>
  </si>
  <si>
    <t>Ecart sur activité</t>
  </si>
  <si>
    <t>Charges fixes</t>
  </si>
  <si>
    <t>Ecart sur rendement</t>
  </si>
  <si>
    <t>Favorable</t>
  </si>
  <si>
    <t>Coût total budget</t>
  </si>
  <si>
    <t>=64200 - 63600</t>
  </si>
  <si>
    <t>=63600- (1880*33)</t>
  </si>
  <si>
    <t>=(2000-1880)*13</t>
  </si>
  <si>
    <t>BS</t>
  </si>
  <si>
    <t>MS</t>
  </si>
  <si>
    <t>HS</t>
  </si>
  <si>
    <t>Sans la centrale</t>
  </si>
  <si>
    <t>Avec la centrale</t>
  </si>
  <si>
    <t>Nb nuits maximum</t>
  </si>
  <si>
    <t>Taux d'occupation</t>
  </si>
  <si>
    <t>E/Q   -   F</t>
  </si>
  <si>
    <t xml:space="preserve">E/P   -D </t>
  </si>
  <si>
    <t>Oui car écart global défavorable</t>
  </si>
  <si>
    <t>32025 - (1075*27) = 3000  -&gt; Ecart sur prix</t>
  </si>
  <si>
    <t>Montant maximal : 2160€</t>
  </si>
  <si>
    <t>Commentaires</t>
  </si>
  <si>
    <t>Une activité moins élevé que prévue (3850 au lieu de 4000) mais un rendement supérieur</t>
  </si>
  <si>
    <t>grâce à la prime de productivité</t>
  </si>
  <si>
    <t>MS 40%</t>
  </si>
  <si>
    <t>BS 60%</t>
  </si>
  <si>
    <t>=(1880-1925)*33</t>
  </si>
  <si>
    <t>d</t>
  </si>
  <si>
    <t>=(1155-1075)*27</t>
  </si>
  <si>
    <t>=(27-29,79)*1075</t>
  </si>
  <si>
    <t>=(2850-2910)*148</t>
  </si>
  <si>
    <t>=(3610-3670)*125</t>
  </si>
  <si>
    <t>=(3040-3708)*95</t>
  </si>
  <si>
    <t>(9500-10288)*120,69</t>
  </si>
  <si>
    <t>9500/14400</t>
  </si>
  <si>
    <t>10288/14400</t>
  </si>
  <si>
    <t>Prix N-2</t>
  </si>
  <si>
    <t>(100-95)*3040</t>
  </si>
  <si>
    <t>(125-125)*3610</t>
  </si>
  <si>
    <t>(150-148)*2850</t>
  </si>
  <si>
    <t xml:space="preserve">Nuits supplémentaires   : </t>
  </si>
  <si>
    <t>9500+1932</t>
  </si>
  <si>
    <t>11432/14400</t>
  </si>
  <si>
    <t>Ajusté (9500)</t>
  </si>
  <si>
    <t>Réel de N-1</t>
  </si>
  <si>
    <t>Remplissage à 100% de l'hôtel : 360 nuits * 40 chambres = 14400 nuits</t>
  </si>
  <si>
    <t>TOTAL Nuits</t>
  </si>
  <si>
    <t>Question 1</t>
  </si>
  <si>
    <t>Question 2</t>
  </si>
  <si>
    <t>Question 3</t>
  </si>
  <si>
    <t>Question 4</t>
  </si>
  <si>
    <t>Question 6</t>
  </si>
  <si>
    <t>Question 7</t>
  </si>
  <si>
    <t>Question 8</t>
  </si>
  <si>
    <t>Vérification</t>
  </si>
  <si>
    <t>E/Quantité</t>
  </si>
  <si>
    <t>E/Prix</t>
  </si>
  <si>
    <t>E/CA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</si>
</sst>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_-* #,##0\ &quot;€&quot;_-;\-* #,##0\ &quot;€&quot;_-;_-* &quot;-&quot;??\ &quot;€&quot;_-;_-@_-"/>
    <numFmt numFmtId="167" formatCode="#,##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6" fontId="0" fillId="0" borderId="0" xfId="0" applyNumberFormat="1"/>
    <xf numFmtId="0" fontId="0" fillId="0" borderId="0" xfId="0" applyFill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10" fontId="0" fillId="0" borderId="0" xfId="2" applyNumberFormat="1" applyFont="1"/>
    <xf numFmtId="164" fontId="0" fillId="0" borderId="0" xfId="0" applyNumberFormat="1"/>
    <xf numFmtId="0" fontId="0" fillId="0" borderId="6" xfId="0" applyBorder="1"/>
    <xf numFmtId="164" fontId="0" fillId="0" borderId="6" xfId="0" applyNumberFormat="1" applyBorder="1"/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/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8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8" fontId="4" fillId="0" borderId="6" xfId="0" applyNumberFormat="1" applyFont="1" applyBorder="1" applyAlignment="1">
      <alignment horizontal="right" vertical="center"/>
    </xf>
    <xf numFmtId="8" fontId="4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0" fillId="3" borderId="6" xfId="0" applyNumberFormat="1" applyFill="1" applyBorder="1"/>
    <xf numFmtId="2" fontId="2" fillId="0" borderId="6" xfId="0" applyNumberFormat="1" applyFont="1" applyBorder="1"/>
    <xf numFmtId="2" fontId="0" fillId="0" borderId="6" xfId="0" applyNumberFormat="1" applyBorder="1"/>
    <xf numFmtId="164" fontId="0" fillId="2" borderId="6" xfId="0" applyNumberFormat="1" applyFill="1" applyBorder="1"/>
    <xf numFmtId="165" fontId="0" fillId="0" borderId="0" xfId="2" applyNumberFormat="1" applyFont="1"/>
    <xf numFmtId="166" fontId="2" fillId="3" borderId="6" xfId="0" applyNumberFormat="1" applyFont="1" applyFill="1" applyBorder="1"/>
    <xf numFmtId="0" fontId="0" fillId="0" borderId="0" xfId="0" quotePrefix="1"/>
    <xf numFmtId="166" fontId="0" fillId="0" borderId="6" xfId="0" applyNumberFormat="1" applyBorder="1"/>
    <xf numFmtId="166" fontId="0" fillId="0" borderId="6" xfId="1" applyNumberFormat="1" applyFont="1" applyBorder="1"/>
    <xf numFmtId="0" fontId="2" fillId="2" borderId="6" xfId="0" applyFont="1" applyFill="1" applyBorder="1"/>
    <xf numFmtId="44" fontId="2" fillId="2" borderId="6" xfId="0" applyNumberFormat="1" applyFont="1" applyFill="1" applyBorder="1"/>
    <xf numFmtId="166" fontId="2" fillId="3" borderId="0" xfId="0" applyNumberFormat="1" applyFont="1" applyFill="1"/>
    <xf numFmtId="6" fontId="0" fillId="4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6" xfId="0" applyFont="1" applyBorder="1" applyAlignment="1">
      <alignment horizontal="center"/>
    </xf>
    <xf numFmtId="10" fontId="2" fillId="4" borderId="6" xfId="2" applyNumberFormat="1" applyFont="1" applyFill="1" applyBorder="1"/>
    <xf numFmtId="0" fontId="5" fillId="0" borderId="0" xfId="0" applyFont="1" applyAlignment="1">
      <alignment horizontal="left"/>
    </xf>
    <xf numFmtId="2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0" fillId="3" borderId="0" xfId="0" quotePrefix="1" applyFill="1" applyAlignment="1">
      <alignment horizontal="center"/>
    </xf>
    <xf numFmtId="167" fontId="9" fillId="0" borderId="6" xfId="0" applyNumberFormat="1" applyFont="1" applyBorder="1"/>
    <xf numFmtId="0" fontId="9" fillId="0" borderId="6" xfId="0" applyFont="1" applyBorder="1"/>
    <xf numFmtId="0" fontId="9" fillId="0" borderId="6" xfId="0" applyFont="1" applyBorder="1" applyAlignment="1">
      <alignment vertical="center" wrapText="1"/>
    </xf>
    <xf numFmtId="1" fontId="9" fillId="0" borderId="6" xfId="0" applyNumberFormat="1" applyFont="1" applyBorder="1"/>
    <xf numFmtId="164" fontId="9" fillId="0" borderId="6" xfId="0" applyNumberFormat="1" applyFont="1" applyBorder="1"/>
    <xf numFmtId="164" fontId="5" fillId="0" borderId="0" xfId="0" applyNumberFormat="1" applyFont="1"/>
    <xf numFmtId="44" fontId="0" fillId="0" borderId="0" xfId="1" applyFont="1"/>
    <xf numFmtId="0" fontId="5" fillId="0" borderId="6" xfId="0" quotePrefix="1" applyFont="1" applyBorder="1" applyAlignment="1">
      <alignment horizontal="center"/>
    </xf>
    <xf numFmtId="9" fontId="0" fillId="0" borderId="0" xfId="0" applyNumberFormat="1"/>
    <xf numFmtId="0" fontId="9" fillId="0" borderId="6" xfId="0" applyFont="1" applyBorder="1" applyAlignment="1">
      <alignment horizontal="center"/>
    </xf>
    <xf numFmtId="10" fontId="9" fillId="0" borderId="6" xfId="2" applyNumberFormat="1" applyFont="1" applyBorder="1" applyAlignment="1">
      <alignment horizontal="center"/>
    </xf>
    <xf numFmtId="9" fontId="9" fillId="0" borderId="6" xfId="2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7" fontId="9" fillId="5" borderId="6" xfId="0" applyNumberFormat="1" applyFont="1" applyFill="1" applyBorder="1"/>
    <xf numFmtId="164" fontId="9" fillId="5" borderId="0" xfId="0" applyNumberFormat="1" applyFont="1" applyFill="1"/>
    <xf numFmtId="164" fontId="10" fillId="5" borderId="0" xfId="0" applyNumberFormat="1" applyFont="1" applyFill="1"/>
    <xf numFmtId="0" fontId="0" fillId="0" borderId="6" xfId="0" quotePrefix="1" applyBorder="1"/>
    <xf numFmtId="0" fontId="2" fillId="5" borderId="0" xfId="0" applyFont="1" applyFill="1"/>
    <xf numFmtId="164" fontId="2" fillId="5" borderId="0" xfId="0" applyNumberFormat="1" applyFont="1" applyFill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44" fontId="2" fillId="0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164" fontId="0" fillId="0" borderId="6" xfId="0" quotePrefix="1" applyNumberFormat="1" applyBorder="1"/>
    <xf numFmtId="164" fontId="0" fillId="3" borderId="6" xfId="0" applyNumberFormat="1" applyFill="1" applyBorder="1"/>
    <xf numFmtId="0" fontId="10" fillId="0" borderId="0" xfId="0" applyFont="1" applyFill="1" applyBorder="1" applyAlignment="1">
      <alignment vertical="center" wrapText="1"/>
    </xf>
    <xf numFmtId="0" fontId="10" fillId="0" borderId="0" xfId="0" applyFont="1"/>
    <xf numFmtId="0" fontId="0" fillId="4" borderId="6" xfId="0" applyFill="1" applyBorder="1"/>
    <xf numFmtId="0" fontId="2" fillId="6" borderId="6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48</xdr:row>
      <xdr:rowOff>52387</xdr:rowOff>
    </xdr:from>
    <xdr:to>
      <xdr:col>4</xdr:col>
      <xdr:colOff>560070</xdr:colOff>
      <xdr:row>53</xdr:row>
      <xdr:rowOff>143827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9567862"/>
          <a:ext cx="4522470" cy="1043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Nouveau</a:t>
          </a:r>
          <a:r>
            <a:rPr lang="fr-FR" sz="1100" baseline="0"/>
            <a:t> CA : 1 182 750/0,90  + 5000/0,90 = 1 319 722€</a:t>
          </a:r>
        </a:p>
        <a:p>
          <a:endParaRPr lang="fr-FR" sz="1100" baseline="0"/>
        </a:p>
        <a:p>
          <a:r>
            <a:rPr lang="fr-FR" sz="1100" baseline="0"/>
            <a:t>Vérification :</a:t>
          </a:r>
        </a:p>
        <a:p>
          <a:r>
            <a:rPr lang="fr-FR" sz="1100" baseline="0"/>
            <a:t>Cout centrale de réservation : 1 319 722 *0 ,10 + 5000 =  136 972€</a:t>
          </a:r>
        </a:p>
        <a:p>
          <a:r>
            <a:rPr lang="fr-FR" sz="1100" baseline="0"/>
            <a:t>Nouveau CA = 1 182 750 + 136 972 =&gt;  1 319 722€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8"/>
  <sheetViews>
    <sheetView tabSelected="1" topLeftCell="A35" zoomScale="200" zoomScaleNormal="200" workbookViewId="0">
      <selection activeCell="F41" sqref="F41:G44"/>
    </sheetView>
  </sheetViews>
  <sheetFormatPr baseColWidth="10" defaultRowHeight="15" x14ac:dyDescent="0.25"/>
  <cols>
    <col min="1" max="1" width="13.28515625" bestFit="1" customWidth="1"/>
    <col min="3" max="3" width="16.5703125" customWidth="1"/>
    <col min="4" max="4" width="20.42578125" bestFit="1" customWidth="1"/>
    <col min="5" max="5" width="13" customWidth="1"/>
  </cols>
  <sheetData>
    <row r="2" spans="1:9" x14ac:dyDescent="0.25">
      <c r="A2" t="s">
        <v>86</v>
      </c>
      <c r="I2" s="59"/>
    </row>
    <row r="3" spans="1:9" ht="15.75" thickBot="1" x14ac:dyDescent="0.3">
      <c r="G3" s="44"/>
    </row>
    <row r="4" spans="1:9" ht="15.75" thickBot="1" x14ac:dyDescent="0.3">
      <c r="A4" s="1"/>
      <c r="B4" s="71" t="s">
        <v>0</v>
      </c>
      <c r="C4" s="72"/>
      <c r="D4" s="71" t="s">
        <v>1</v>
      </c>
      <c r="E4" s="72"/>
    </row>
    <row r="5" spans="1:9" ht="15.75" thickBot="1" x14ac:dyDescent="0.3">
      <c r="A5" s="2"/>
      <c r="B5" s="3" t="s">
        <v>2</v>
      </c>
      <c r="C5" s="3" t="s">
        <v>3</v>
      </c>
      <c r="D5" s="3" t="s">
        <v>2</v>
      </c>
      <c r="E5" s="3" t="s">
        <v>3</v>
      </c>
    </row>
    <row r="6" spans="1:9" ht="15.75" thickBot="1" x14ac:dyDescent="0.3">
      <c r="A6" s="2" t="s">
        <v>4</v>
      </c>
      <c r="B6" s="6">
        <v>100</v>
      </c>
      <c r="C6" s="3">
        <v>3040</v>
      </c>
      <c r="D6" s="6">
        <v>95</v>
      </c>
      <c r="E6" s="3">
        <v>3708</v>
      </c>
    </row>
    <row r="7" spans="1:9" ht="30.75" thickBot="1" x14ac:dyDescent="0.3">
      <c r="A7" s="2" t="s">
        <v>5</v>
      </c>
      <c r="B7" s="6">
        <v>125</v>
      </c>
      <c r="C7" s="3">
        <v>3610</v>
      </c>
      <c r="D7" s="6">
        <v>125</v>
      </c>
      <c r="E7" s="3">
        <v>3670</v>
      </c>
    </row>
    <row r="8" spans="1:9" x14ac:dyDescent="0.25">
      <c r="A8" s="81" t="s">
        <v>6</v>
      </c>
      <c r="B8" s="82">
        <v>150</v>
      </c>
      <c r="C8" s="83">
        <v>2850</v>
      </c>
      <c r="D8" s="82">
        <v>148</v>
      </c>
      <c r="E8" s="83">
        <v>2910</v>
      </c>
    </row>
    <row r="9" spans="1:9" x14ac:dyDescent="0.25">
      <c r="A9" s="84" t="s">
        <v>87</v>
      </c>
      <c r="B9" s="9"/>
      <c r="C9" s="9">
        <f>SUM(C6:C8)</f>
        <v>9500</v>
      </c>
      <c r="D9" s="9"/>
      <c r="E9" s="9">
        <f t="shared" ref="E9" si="0">SUM(E6:E8)</f>
        <v>10288</v>
      </c>
    </row>
    <row r="11" spans="1:9" x14ac:dyDescent="0.25">
      <c r="A11" s="85" t="s">
        <v>88</v>
      </c>
    </row>
    <row r="12" spans="1:9" x14ac:dyDescent="0.25">
      <c r="A12" s="5" t="s">
        <v>7</v>
      </c>
      <c r="B12" s="37">
        <f>B6*C6+B7*C7+B8*C8</f>
        <v>1182750</v>
      </c>
      <c r="C12" s="56">
        <f>B12/C9</f>
        <v>124.5</v>
      </c>
      <c r="E12" s="39"/>
    </row>
    <row r="13" spans="1:9" x14ac:dyDescent="0.25">
      <c r="A13" s="5" t="s">
        <v>8</v>
      </c>
      <c r="B13" s="37">
        <f>D6*E6+D7*E7+D8*E8</f>
        <v>1241690</v>
      </c>
      <c r="C13" s="49">
        <f>B13/E9</f>
        <v>120.69304043545878</v>
      </c>
      <c r="E13" s="38"/>
    </row>
    <row r="14" spans="1:9" x14ac:dyDescent="0.25">
      <c r="B14" s="4">
        <f>B12-B13</f>
        <v>-58940</v>
      </c>
      <c r="C14" t="s">
        <v>37</v>
      </c>
    </row>
    <row r="15" spans="1:9" x14ac:dyDescent="0.25">
      <c r="B15" s="4"/>
    </row>
    <row r="16" spans="1:9" x14ac:dyDescent="0.25">
      <c r="A16" s="86" t="s">
        <v>56</v>
      </c>
    </row>
    <row r="17" spans="1:7" x14ac:dyDescent="0.25">
      <c r="A17" s="5" t="s">
        <v>10</v>
      </c>
      <c r="B17" s="7">
        <f>C9/(360*40)</f>
        <v>0.65972222222222221</v>
      </c>
      <c r="C17" s="50" t="s">
        <v>75</v>
      </c>
    </row>
    <row r="18" spans="1:7" x14ac:dyDescent="0.25">
      <c r="A18" s="5" t="s">
        <v>11</v>
      </c>
      <c r="B18" s="7">
        <f>E9/(360*40)</f>
        <v>0.71444444444444444</v>
      </c>
      <c r="C18" s="50" t="s">
        <v>76</v>
      </c>
    </row>
    <row r="20" spans="1:7" x14ac:dyDescent="0.25">
      <c r="A20" s="86" t="s">
        <v>89</v>
      </c>
    </row>
    <row r="22" spans="1:7" ht="13.15" customHeight="1" x14ac:dyDescent="0.25">
      <c r="A22" s="74" t="s">
        <v>16</v>
      </c>
      <c r="B22" s="74"/>
      <c r="C22" s="74"/>
    </row>
    <row r="23" spans="1:7" ht="13.15" customHeight="1" x14ac:dyDescent="0.25">
      <c r="A23" s="9" t="s">
        <v>50</v>
      </c>
      <c r="B23" s="10">
        <f>(C6-E6)*D6</f>
        <v>-63460</v>
      </c>
      <c r="C23" s="87" t="s">
        <v>73</v>
      </c>
    </row>
    <row r="24" spans="1:7" x14ac:dyDescent="0.25">
      <c r="A24" s="9" t="s">
        <v>51</v>
      </c>
      <c r="B24" s="10">
        <f>(C7-E7)*D7</f>
        <v>-7500</v>
      </c>
      <c r="C24" s="67" t="s">
        <v>72</v>
      </c>
      <c r="G24" s="11"/>
    </row>
    <row r="25" spans="1:7" x14ac:dyDescent="0.25">
      <c r="A25" s="9" t="s">
        <v>52</v>
      </c>
      <c r="B25" s="10">
        <f>(C8-E8)*D8</f>
        <v>-8880</v>
      </c>
      <c r="C25" s="67" t="s">
        <v>71</v>
      </c>
      <c r="G25" s="11"/>
    </row>
    <row r="26" spans="1:7" x14ac:dyDescent="0.25">
      <c r="A26" s="9" t="s">
        <v>31</v>
      </c>
      <c r="B26" s="88">
        <f>SUM(B23:B25)</f>
        <v>-79840</v>
      </c>
      <c r="C26" s="41"/>
    </row>
    <row r="28" spans="1:7" x14ac:dyDescent="0.25">
      <c r="A28" s="86" t="s">
        <v>90</v>
      </c>
    </row>
    <row r="30" spans="1:7" x14ac:dyDescent="0.25">
      <c r="A30" s="48" t="s">
        <v>13</v>
      </c>
      <c r="B30" s="65">
        <f>(C9-E9)*C13</f>
        <v>-95106.115863141516</v>
      </c>
      <c r="C30" s="73" t="s">
        <v>74</v>
      </c>
      <c r="D30" s="73"/>
      <c r="E30" s="45"/>
      <c r="F30" s="45"/>
      <c r="G30" s="45"/>
    </row>
    <row r="31" spans="1:7" x14ac:dyDescent="0.25">
      <c r="A31" s="45" t="s">
        <v>14</v>
      </c>
      <c r="B31" s="46">
        <f>G38</f>
        <v>15266.115863141476</v>
      </c>
      <c r="C31" s="47">
        <v>2</v>
      </c>
      <c r="D31" s="45"/>
      <c r="E31" s="45"/>
      <c r="F31" s="45"/>
      <c r="G31" s="45"/>
    </row>
    <row r="32" spans="1:7" x14ac:dyDescent="0.25">
      <c r="A32" s="45"/>
      <c r="B32" s="46"/>
      <c r="C32" s="47"/>
      <c r="D32" s="45"/>
      <c r="E32" s="45"/>
      <c r="F32" s="45"/>
      <c r="G32" s="45"/>
    </row>
    <row r="33" spans="1:7" x14ac:dyDescent="0.25">
      <c r="A33" s="48" t="s">
        <v>14</v>
      </c>
      <c r="B33" s="66">
        <f>G38</f>
        <v>15266.115863141476</v>
      </c>
      <c r="C33" s="45"/>
      <c r="D33" s="45"/>
      <c r="E33" s="45"/>
      <c r="F33" s="45"/>
      <c r="G33" s="45"/>
    </row>
    <row r="34" spans="1:7" x14ac:dyDescent="0.25">
      <c r="A34" s="52"/>
      <c r="B34" s="60" t="s">
        <v>15</v>
      </c>
      <c r="C34" s="52" t="s">
        <v>84</v>
      </c>
      <c r="D34" s="60" t="s">
        <v>85</v>
      </c>
      <c r="E34" s="52" t="s">
        <v>9</v>
      </c>
      <c r="F34" s="52" t="s">
        <v>77</v>
      </c>
      <c r="G34" s="52"/>
    </row>
    <row r="35" spans="1:7" x14ac:dyDescent="0.25">
      <c r="A35" s="53" t="s">
        <v>4</v>
      </c>
      <c r="B35" s="61">
        <f>E6/$E$9</f>
        <v>0.36041990668740281</v>
      </c>
      <c r="C35" s="54">
        <f>B35*$C$9</f>
        <v>3423.9891135303269</v>
      </c>
      <c r="D35" s="60">
        <f>C6</f>
        <v>3040</v>
      </c>
      <c r="E35" s="54">
        <f>D35-C35</f>
        <v>-383.9891135303269</v>
      </c>
      <c r="F35" s="55">
        <f>+D6</f>
        <v>95</v>
      </c>
      <c r="G35" s="51">
        <f>F35*E35</f>
        <v>-36478.965785381057</v>
      </c>
    </row>
    <row r="36" spans="1:7" ht="30" x14ac:dyDescent="0.25">
      <c r="A36" s="53" t="s">
        <v>5</v>
      </c>
      <c r="B36" s="61">
        <f>E7/$E$9</f>
        <v>0.35672628304821152</v>
      </c>
      <c r="C36" s="54">
        <f t="shared" ref="C36:C37" si="1">B36*$C$9</f>
        <v>3388.8996889580094</v>
      </c>
      <c r="D36" s="60">
        <f>C7</f>
        <v>3610</v>
      </c>
      <c r="E36" s="54">
        <f t="shared" ref="E36:E37" si="2">D36-C36</f>
        <v>221.10031104199061</v>
      </c>
      <c r="F36" s="55">
        <f>+D7</f>
        <v>125</v>
      </c>
      <c r="G36" s="51">
        <f t="shared" ref="G36:G37" si="3">F36*E36</f>
        <v>27637.538880248827</v>
      </c>
    </row>
    <row r="37" spans="1:7" x14ac:dyDescent="0.25">
      <c r="A37" s="53" t="s">
        <v>6</v>
      </c>
      <c r="B37" s="61">
        <f>E8/$E$9</f>
        <v>0.28285381026438572</v>
      </c>
      <c r="C37" s="54">
        <f t="shared" si="1"/>
        <v>2687.1111975116642</v>
      </c>
      <c r="D37" s="60">
        <f>C8</f>
        <v>2850</v>
      </c>
      <c r="E37" s="54">
        <f t="shared" si="2"/>
        <v>162.88880248833584</v>
      </c>
      <c r="F37" s="55">
        <f>+D8</f>
        <v>148</v>
      </c>
      <c r="G37" s="51">
        <f t="shared" si="3"/>
        <v>24107.542768273706</v>
      </c>
    </row>
    <row r="38" spans="1:7" x14ac:dyDescent="0.25">
      <c r="A38" s="52" t="s">
        <v>31</v>
      </c>
      <c r="B38" s="62">
        <f t="shared" ref="B38:E38" si="4">SUM(B35:B37)</f>
        <v>1</v>
      </c>
      <c r="C38" s="54">
        <f t="shared" si="4"/>
        <v>9500</v>
      </c>
      <c r="D38" s="63">
        <f t="shared" si="4"/>
        <v>9500</v>
      </c>
      <c r="E38" s="54">
        <f t="shared" si="4"/>
        <v>-4.5474735088646412E-13</v>
      </c>
      <c r="F38" s="55"/>
      <c r="G38" s="64">
        <f>SUM(G35:G37)</f>
        <v>15266.115863141476</v>
      </c>
    </row>
    <row r="40" spans="1:7" x14ac:dyDescent="0.25">
      <c r="A40" s="89" t="s">
        <v>91</v>
      </c>
    </row>
    <row r="41" spans="1:7" x14ac:dyDescent="0.25">
      <c r="A41" s="75" t="s">
        <v>12</v>
      </c>
      <c r="B41" s="75"/>
      <c r="C41" s="75"/>
      <c r="D41" s="75"/>
      <c r="F41" s="76" t="s">
        <v>95</v>
      </c>
      <c r="G41" s="76"/>
    </row>
    <row r="42" spans="1:7" x14ac:dyDescent="0.25">
      <c r="A42" s="9" t="s">
        <v>50</v>
      </c>
      <c r="B42" s="10">
        <f>(B6-D6)*C6</f>
        <v>15200</v>
      </c>
      <c r="C42" s="9" t="s">
        <v>17</v>
      </c>
      <c r="D42" s="67" t="s">
        <v>78</v>
      </c>
      <c r="F42" s="41">
        <v>-79840</v>
      </c>
      <c r="G42" s="9" t="s">
        <v>96</v>
      </c>
    </row>
    <row r="43" spans="1:7" x14ac:dyDescent="0.25">
      <c r="A43" s="9" t="s">
        <v>51</v>
      </c>
      <c r="B43" s="10">
        <f>(B7-D7)*C7</f>
        <v>0</v>
      </c>
      <c r="C43" s="9" t="s">
        <v>18</v>
      </c>
      <c r="D43" s="9" t="s">
        <v>79</v>
      </c>
      <c r="F43" s="41">
        <v>20900</v>
      </c>
      <c r="G43" s="9" t="s">
        <v>97</v>
      </c>
    </row>
    <row r="44" spans="1:7" x14ac:dyDescent="0.25">
      <c r="A44" s="9" t="s">
        <v>52</v>
      </c>
      <c r="B44" s="10">
        <f>(B8-D8)*C8</f>
        <v>5700</v>
      </c>
      <c r="C44" s="9" t="s">
        <v>17</v>
      </c>
      <c r="D44" s="9" t="s">
        <v>80</v>
      </c>
      <c r="F44" s="70">
        <f>F42+F43</f>
        <v>-58940</v>
      </c>
      <c r="G44" s="9" t="s">
        <v>98</v>
      </c>
    </row>
    <row r="45" spans="1:7" x14ac:dyDescent="0.25">
      <c r="A45" s="68" t="s">
        <v>31</v>
      </c>
      <c r="B45" s="69">
        <f>SUM(B42:B44)</f>
        <v>20900</v>
      </c>
      <c r="C45" t="s">
        <v>17</v>
      </c>
      <c r="D45" s="38"/>
    </row>
    <row r="46" spans="1:7" x14ac:dyDescent="0.25">
      <c r="B46" s="8"/>
      <c r="D46" s="38"/>
    </row>
    <row r="47" spans="1:7" x14ac:dyDescent="0.25">
      <c r="B47" s="8"/>
      <c r="D47" s="38"/>
    </row>
    <row r="48" spans="1:7" x14ac:dyDescent="0.25">
      <c r="A48" s="90" t="s">
        <v>92</v>
      </c>
      <c r="B48" s="8"/>
      <c r="D48" s="38"/>
    </row>
    <row r="49" spans="1:6" x14ac:dyDescent="0.25">
      <c r="B49" s="8"/>
      <c r="D49" s="38"/>
    </row>
    <row r="56" spans="1:6" x14ac:dyDescent="0.25">
      <c r="A56" s="86" t="s">
        <v>93</v>
      </c>
    </row>
    <row r="59" spans="1:6" x14ac:dyDescent="0.25">
      <c r="A59" s="57">
        <v>210000</v>
      </c>
      <c r="C59" s="9" t="s">
        <v>65</v>
      </c>
      <c r="D59" s="10">
        <f>A59*0.4</f>
        <v>84000</v>
      </c>
      <c r="E59" s="91">
        <f>84000/125</f>
        <v>672</v>
      </c>
      <c r="F59" s="38"/>
    </row>
    <row r="60" spans="1:6" x14ac:dyDescent="0.25">
      <c r="C60" s="9" t="s">
        <v>66</v>
      </c>
      <c r="D60" s="10">
        <f>A59-D59</f>
        <v>126000</v>
      </c>
      <c r="E60" s="91">
        <f>D60/B6</f>
        <v>1260</v>
      </c>
      <c r="F60" s="38"/>
    </row>
    <row r="61" spans="1:6" x14ac:dyDescent="0.25">
      <c r="C61" s="9" t="s">
        <v>81</v>
      </c>
      <c r="D61" s="10"/>
      <c r="E61" s="92">
        <f>+SUM(E59:E60)</f>
        <v>1932</v>
      </c>
      <c r="F61" s="38"/>
    </row>
    <row r="62" spans="1:6" x14ac:dyDescent="0.25">
      <c r="D62" s="8"/>
      <c r="E62" s="40"/>
      <c r="F62" s="38"/>
    </row>
    <row r="63" spans="1:6" x14ac:dyDescent="0.25">
      <c r="D63" s="8"/>
      <c r="E63" s="40"/>
      <c r="F63" s="38"/>
    </row>
    <row r="64" spans="1:6" x14ac:dyDescent="0.25">
      <c r="A64" s="86" t="s">
        <v>94</v>
      </c>
      <c r="D64" s="8"/>
      <c r="E64" s="40"/>
      <c r="F64" s="38"/>
    </row>
    <row r="65" spans="2:5" x14ac:dyDescent="0.25">
      <c r="B65" s="9" t="s">
        <v>53</v>
      </c>
      <c r="C65" s="9"/>
      <c r="D65" s="9">
        <f>C9</f>
        <v>9500</v>
      </c>
      <c r="E65" s="41"/>
    </row>
    <row r="66" spans="2:5" x14ac:dyDescent="0.25">
      <c r="B66" s="9" t="s">
        <v>54</v>
      </c>
      <c r="C66" s="9"/>
      <c r="D66" s="9">
        <f>E61+D65</f>
        <v>11432</v>
      </c>
      <c r="E66" s="58" t="s">
        <v>82</v>
      </c>
    </row>
    <row r="67" spans="2:5" x14ac:dyDescent="0.25">
      <c r="B67" s="9" t="s">
        <v>55</v>
      </c>
      <c r="C67" s="9"/>
      <c r="D67" s="9">
        <f>40*360</f>
        <v>14400</v>
      </c>
      <c r="E67" s="41"/>
    </row>
    <row r="68" spans="2:5" x14ac:dyDescent="0.25">
      <c r="B68" s="9" t="s">
        <v>56</v>
      </c>
      <c r="C68" s="9"/>
      <c r="D68" s="42">
        <f>D66/D67</f>
        <v>0.79388888888888887</v>
      </c>
      <c r="E68" s="58" t="s">
        <v>83</v>
      </c>
    </row>
  </sheetData>
  <mergeCells count="6">
    <mergeCell ref="F41:G41"/>
    <mergeCell ref="B4:C4"/>
    <mergeCell ref="D4:E4"/>
    <mergeCell ref="C30:D30"/>
    <mergeCell ref="A22:C22"/>
    <mergeCell ref="A41:D41"/>
  </mergeCells>
  <pageMargins left="0.7" right="0.7" top="0.75" bottom="0.75" header="0.3" footer="0.3"/>
  <pageSetup paperSize="9" scale="72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topLeftCell="A38" zoomScale="150" zoomScaleNormal="150" workbookViewId="0">
      <selection activeCell="E56" sqref="E56"/>
    </sheetView>
  </sheetViews>
  <sheetFormatPr baseColWidth="10" defaultRowHeight="15" x14ac:dyDescent="0.25"/>
  <cols>
    <col min="1" max="1" width="21.28515625" customWidth="1"/>
    <col min="2" max="2" width="18" customWidth="1"/>
    <col min="3" max="3" width="15.140625" customWidth="1"/>
    <col min="4" max="4" width="16.42578125" customWidth="1"/>
    <col min="5" max="5" width="11.5703125" customWidth="1"/>
    <col min="6" max="6" width="16" customWidth="1"/>
    <col min="7" max="7" width="15.42578125" customWidth="1"/>
    <col min="8" max="8" width="18.42578125" customWidth="1"/>
    <col min="9" max="9" width="4.5703125" customWidth="1"/>
    <col min="10" max="10" width="4.28515625" customWidth="1"/>
  </cols>
  <sheetData>
    <row r="2" spans="1:5" x14ac:dyDescent="0.25">
      <c r="E2" s="38">
        <f>SUM(J23:J26)+C30+C31+E34+C39+C41+C47+SUM(E53:E55)+F60+E36</f>
        <v>15</v>
      </c>
    </row>
    <row r="4" spans="1:5" x14ac:dyDescent="0.25">
      <c r="A4" s="13"/>
      <c r="B4" s="14" t="s">
        <v>19</v>
      </c>
      <c r="C4" s="14" t="s">
        <v>20</v>
      </c>
      <c r="D4" s="14" t="s">
        <v>21</v>
      </c>
    </row>
    <row r="5" spans="1:5" x14ac:dyDescent="0.25">
      <c r="A5" s="15" t="s">
        <v>22</v>
      </c>
      <c r="B5" s="16">
        <v>1980</v>
      </c>
      <c r="C5" s="19">
        <v>7.8</v>
      </c>
      <c r="D5" s="17">
        <f>B5*C5</f>
        <v>15444</v>
      </c>
    </row>
    <row r="6" spans="1:5" x14ac:dyDescent="0.25">
      <c r="A6" s="15" t="s">
        <v>23</v>
      </c>
      <c r="B6" s="16">
        <v>31300</v>
      </c>
      <c r="C6" s="19">
        <v>3.45</v>
      </c>
      <c r="D6" s="17">
        <f t="shared" ref="D6" si="0">B6*C6</f>
        <v>107985</v>
      </c>
    </row>
    <row r="7" spans="1:5" x14ac:dyDescent="0.25">
      <c r="A7" s="15" t="s">
        <v>24</v>
      </c>
      <c r="B7" s="16">
        <v>1075</v>
      </c>
      <c r="C7" s="19"/>
      <c r="D7" s="17">
        <f>1075*27+3000</f>
        <v>32025</v>
      </c>
    </row>
    <row r="8" spans="1:5" x14ac:dyDescent="0.25">
      <c r="A8" s="13" t="s">
        <v>25</v>
      </c>
      <c r="B8" s="18">
        <v>1880</v>
      </c>
      <c r="C8" s="18" t="s">
        <v>26</v>
      </c>
      <c r="D8" s="19">
        <v>64200</v>
      </c>
    </row>
    <row r="9" spans="1:5" x14ac:dyDescent="0.25">
      <c r="A9" s="20" t="s">
        <v>27</v>
      </c>
      <c r="B9" s="20">
        <v>3850</v>
      </c>
      <c r="C9" s="22">
        <f>D9/B9</f>
        <v>57.05298701298701</v>
      </c>
      <c r="D9" s="21">
        <f>SUM(D5:D8)</f>
        <v>219654</v>
      </c>
    </row>
    <row r="12" spans="1:5" x14ac:dyDescent="0.25">
      <c r="A12" s="13"/>
      <c r="B12" s="14" t="s">
        <v>19</v>
      </c>
      <c r="C12" s="14" t="s">
        <v>20</v>
      </c>
      <c r="D12" s="14" t="s">
        <v>21</v>
      </c>
    </row>
    <row r="13" spans="1:5" x14ac:dyDescent="0.25">
      <c r="A13" s="15" t="s">
        <v>22</v>
      </c>
      <c r="B13" s="16">
        <v>0.4</v>
      </c>
      <c r="C13" s="19">
        <v>8</v>
      </c>
      <c r="D13" s="17">
        <f>B13*C13</f>
        <v>3.2</v>
      </c>
    </row>
    <row r="14" spans="1:5" x14ac:dyDescent="0.25">
      <c r="A14" s="15" t="s">
        <v>23</v>
      </c>
      <c r="B14" s="16">
        <v>8</v>
      </c>
      <c r="C14" s="19">
        <v>3.5</v>
      </c>
      <c r="D14" s="17">
        <f t="shared" ref="D14:D16" si="1">B14*C14</f>
        <v>28</v>
      </c>
    </row>
    <row r="15" spans="1:5" x14ac:dyDescent="0.25">
      <c r="A15" s="15" t="s">
        <v>24</v>
      </c>
      <c r="B15" s="16">
        <f>18/60</f>
        <v>0.3</v>
      </c>
      <c r="C15" s="19">
        <v>27</v>
      </c>
      <c r="D15" s="17">
        <f t="shared" si="1"/>
        <v>8.1</v>
      </c>
    </row>
    <row r="16" spans="1:5" x14ac:dyDescent="0.25">
      <c r="A16" s="13" t="s">
        <v>25</v>
      </c>
      <c r="B16" s="18">
        <f>30/60</f>
        <v>0.5</v>
      </c>
      <c r="C16" s="18">
        <v>33</v>
      </c>
      <c r="D16" s="17">
        <f t="shared" si="1"/>
        <v>16.5</v>
      </c>
    </row>
    <row r="17" spans="1:10" x14ac:dyDescent="0.25">
      <c r="A17" s="20" t="s">
        <v>27</v>
      </c>
      <c r="B17" s="20">
        <v>1</v>
      </c>
      <c r="C17" s="22">
        <f>D17/B17</f>
        <v>55.8</v>
      </c>
      <c r="D17" s="21">
        <f>SUM(D13:D16)</f>
        <v>55.8</v>
      </c>
    </row>
    <row r="21" spans="1:10" x14ac:dyDescent="0.25">
      <c r="A21" s="9"/>
      <c r="B21" s="76" t="s">
        <v>32</v>
      </c>
      <c r="C21" s="76"/>
      <c r="D21" s="76"/>
      <c r="E21" s="77" t="s">
        <v>28</v>
      </c>
      <c r="F21" s="77"/>
      <c r="G21" s="77"/>
      <c r="H21" s="78" t="s">
        <v>30</v>
      </c>
    </row>
    <row r="22" spans="1:10" x14ac:dyDescent="0.25">
      <c r="A22" s="9"/>
      <c r="B22" s="23" t="s">
        <v>19</v>
      </c>
      <c r="C22" s="23" t="s">
        <v>29</v>
      </c>
      <c r="D22" s="23" t="s">
        <v>21</v>
      </c>
      <c r="E22" s="23" t="s">
        <v>19</v>
      </c>
      <c r="F22" s="23" t="s">
        <v>29</v>
      </c>
      <c r="G22" s="23" t="s">
        <v>21</v>
      </c>
      <c r="H22" s="78"/>
    </row>
    <row r="23" spans="1:10" x14ac:dyDescent="0.25">
      <c r="A23" s="26" t="str">
        <f>A13</f>
        <v>Plastique</v>
      </c>
      <c r="B23" s="27">
        <v>1980</v>
      </c>
      <c r="C23" s="10">
        <f>C5</f>
        <v>7.8</v>
      </c>
      <c r="D23" s="10">
        <f>B23*C23</f>
        <v>15444</v>
      </c>
      <c r="E23" s="9">
        <f>3850*B13</f>
        <v>1540</v>
      </c>
      <c r="F23" s="10">
        <f>C13</f>
        <v>8</v>
      </c>
      <c r="G23" s="10">
        <f>E23*F23</f>
        <v>12320</v>
      </c>
      <c r="H23" s="28">
        <f>+G23-D23</f>
        <v>-3124</v>
      </c>
      <c r="I23" t="s">
        <v>68</v>
      </c>
      <c r="J23" s="43">
        <v>1</v>
      </c>
    </row>
    <row r="24" spans="1:10" x14ac:dyDescent="0.25">
      <c r="A24" s="26" t="str">
        <f t="shared" ref="A24:A26" si="2">A14</f>
        <v>Autres composants</v>
      </c>
      <c r="B24" s="27">
        <f t="shared" ref="B24:C26" si="3">B6</f>
        <v>31300</v>
      </c>
      <c r="C24" s="10">
        <f t="shared" si="3"/>
        <v>3.45</v>
      </c>
      <c r="D24" s="10">
        <f t="shared" ref="D24" si="4">B24*C24</f>
        <v>107985</v>
      </c>
      <c r="E24" s="9">
        <f t="shared" ref="E24:E26" si="5">3850*B14</f>
        <v>30800</v>
      </c>
      <c r="F24" s="10">
        <f t="shared" ref="F24:F26" si="6">C14</f>
        <v>3.5</v>
      </c>
      <c r="G24" s="10">
        <f t="shared" ref="G24:G26" si="7">E24*F24</f>
        <v>107800</v>
      </c>
      <c r="H24" s="28">
        <f t="shared" ref="H24:H26" si="8">+G24-D24</f>
        <v>-185</v>
      </c>
      <c r="I24" t="s">
        <v>18</v>
      </c>
      <c r="J24" s="43">
        <v>1</v>
      </c>
    </row>
    <row r="25" spans="1:10" x14ac:dyDescent="0.25">
      <c r="A25" s="26" t="str">
        <f t="shared" si="2"/>
        <v>MOD</v>
      </c>
      <c r="B25" s="27">
        <f t="shared" si="3"/>
        <v>1075</v>
      </c>
      <c r="C25" s="10">
        <f>D25/B25</f>
        <v>29.790697674418606</v>
      </c>
      <c r="D25" s="10">
        <f>D7</f>
        <v>32025</v>
      </c>
      <c r="E25" s="9">
        <f t="shared" si="5"/>
        <v>1155</v>
      </c>
      <c r="F25" s="10">
        <f t="shared" si="6"/>
        <v>27</v>
      </c>
      <c r="G25" s="10">
        <f t="shared" si="7"/>
        <v>31185</v>
      </c>
      <c r="H25" s="28">
        <f t="shared" si="8"/>
        <v>-840</v>
      </c>
      <c r="I25" t="s">
        <v>18</v>
      </c>
      <c r="J25" s="43">
        <v>1</v>
      </c>
    </row>
    <row r="26" spans="1:10" x14ac:dyDescent="0.25">
      <c r="A26" s="26" t="str">
        <f t="shared" si="2"/>
        <v>Charges de l'atelier</v>
      </c>
      <c r="B26" s="27">
        <f t="shared" si="3"/>
        <v>1880</v>
      </c>
      <c r="C26" s="10" t="str">
        <f t="shared" si="3"/>
        <v xml:space="preserve">              </v>
      </c>
      <c r="D26" s="10">
        <f>D8</f>
        <v>64200</v>
      </c>
      <c r="E26" s="9">
        <f t="shared" si="5"/>
        <v>1925</v>
      </c>
      <c r="F26" s="10">
        <f t="shared" si="6"/>
        <v>33</v>
      </c>
      <c r="G26" s="10">
        <f t="shared" si="7"/>
        <v>63525</v>
      </c>
      <c r="H26" s="28">
        <f t="shared" si="8"/>
        <v>-675</v>
      </c>
      <c r="I26" t="s">
        <v>18</v>
      </c>
      <c r="J26" s="43">
        <v>1</v>
      </c>
    </row>
    <row r="27" spans="1:10" x14ac:dyDescent="0.25">
      <c r="A27" s="9" t="s">
        <v>31</v>
      </c>
      <c r="B27" s="9">
        <v>3850</v>
      </c>
      <c r="C27" s="25">
        <f>D27/B27</f>
        <v>57.05298701298701</v>
      </c>
      <c r="D27" s="10">
        <f>SUM(D23:D26)</f>
        <v>219654</v>
      </c>
      <c r="E27" s="9">
        <v>3850</v>
      </c>
      <c r="F27" s="25">
        <f>G27/E27</f>
        <v>55.8</v>
      </c>
      <c r="G27" s="10">
        <f>SUM(G23:G26)</f>
        <v>214830</v>
      </c>
      <c r="H27" s="24">
        <f t="shared" ref="H27" si="9">D27-G27</f>
        <v>4824</v>
      </c>
    </row>
    <row r="29" spans="1:10" x14ac:dyDescent="0.25">
      <c r="A29" t="s">
        <v>24</v>
      </c>
    </row>
    <row r="30" spans="1:10" x14ac:dyDescent="0.25">
      <c r="A30" t="s">
        <v>57</v>
      </c>
      <c r="B30" s="8">
        <f>(E25-B25)*F25</f>
        <v>2160</v>
      </c>
      <c r="C30" s="43">
        <v>1</v>
      </c>
      <c r="D30" s="31" t="s">
        <v>69</v>
      </c>
    </row>
    <row r="31" spans="1:10" x14ac:dyDescent="0.25">
      <c r="A31" t="s">
        <v>58</v>
      </c>
      <c r="B31" s="29">
        <f>(F25-C25)*B25</f>
        <v>-3000.0000000000014</v>
      </c>
      <c r="C31" s="43">
        <v>1</v>
      </c>
      <c r="D31" s="31" t="s">
        <v>70</v>
      </c>
    </row>
    <row r="32" spans="1:10" x14ac:dyDescent="0.25">
      <c r="B32" s="12">
        <f>B31+B30</f>
        <v>-840.00000000000136</v>
      </c>
    </row>
    <row r="34" spans="1:5" x14ac:dyDescent="0.25">
      <c r="A34" s="7">
        <f>(E25-B25)/1155</f>
        <v>6.9264069264069264E-2</v>
      </c>
      <c r="B34" t="s">
        <v>33</v>
      </c>
      <c r="E34" s="43">
        <v>1</v>
      </c>
    </row>
    <row r="36" spans="1:5" x14ac:dyDescent="0.25">
      <c r="A36" t="s">
        <v>34</v>
      </c>
      <c r="B36" s="31" t="s">
        <v>60</v>
      </c>
      <c r="E36" s="43">
        <v>1</v>
      </c>
    </row>
    <row r="39" spans="1:5" x14ac:dyDescent="0.25">
      <c r="A39" t="s">
        <v>59</v>
      </c>
      <c r="C39" s="38">
        <v>1</v>
      </c>
    </row>
    <row r="41" spans="1:5" x14ac:dyDescent="0.25">
      <c r="A41" t="s">
        <v>61</v>
      </c>
      <c r="C41" s="38">
        <v>1</v>
      </c>
    </row>
    <row r="42" spans="1:5" x14ac:dyDescent="0.25">
      <c r="C42" s="38"/>
    </row>
    <row r="43" spans="1:5" x14ac:dyDescent="0.25">
      <c r="A43" s="80" t="s">
        <v>38</v>
      </c>
      <c r="B43" s="80"/>
    </row>
    <row r="44" spans="1:5" x14ac:dyDescent="0.25">
      <c r="A44" s="23" t="s">
        <v>39</v>
      </c>
      <c r="B44" s="23">
        <v>1880</v>
      </c>
    </row>
    <row r="45" spans="1:5" x14ac:dyDescent="0.25">
      <c r="A45" s="9" t="s">
        <v>41</v>
      </c>
      <c r="B45" s="24">
        <f>20*B44</f>
        <v>37600</v>
      </c>
    </row>
    <row r="46" spans="1:5" x14ac:dyDescent="0.25">
      <c r="A46" s="9" t="s">
        <v>43</v>
      </c>
      <c r="B46" s="24">
        <f>13*2000</f>
        <v>26000</v>
      </c>
    </row>
    <row r="47" spans="1:5" x14ac:dyDescent="0.25">
      <c r="A47" s="34" t="s">
        <v>46</v>
      </c>
      <c r="B47" s="35">
        <f>B45+B46</f>
        <v>63600</v>
      </c>
      <c r="C47" s="38">
        <v>1</v>
      </c>
    </row>
    <row r="48" spans="1:5" x14ac:dyDescent="0.25">
      <c r="C48" s="38"/>
    </row>
    <row r="49" spans="1:7" x14ac:dyDescent="0.25">
      <c r="A49" s="79" t="s">
        <v>35</v>
      </c>
      <c r="B49" s="79"/>
      <c r="C49" s="79"/>
    </row>
    <row r="51" spans="1:7" x14ac:dyDescent="0.25">
      <c r="A51" s="9" t="s">
        <v>36</v>
      </c>
      <c r="B51" s="30">
        <f>H26</f>
        <v>-675</v>
      </c>
      <c r="C51" s="9" t="s">
        <v>37</v>
      </c>
    </row>
    <row r="52" spans="1:7" x14ac:dyDescent="0.25">
      <c r="D52" s="31"/>
    </row>
    <row r="53" spans="1:7" x14ac:dyDescent="0.25">
      <c r="A53" s="9" t="s">
        <v>40</v>
      </c>
      <c r="B53" s="32">
        <f>D26-B47</f>
        <v>600</v>
      </c>
      <c r="C53" s="9" t="s">
        <v>37</v>
      </c>
      <c r="D53" s="31" t="s">
        <v>47</v>
      </c>
      <c r="E53" s="43">
        <v>1</v>
      </c>
    </row>
    <row r="54" spans="1:7" x14ac:dyDescent="0.25">
      <c r="A54" s="9" t="s">
        <v>42</v>
      </c>
      <c r="B54" s="33">
        <f>B47-1880*33</f>
        <v>1560</v>
      </c>
      <c r="C54" s="9" t="s">
        <v>37</v>
      </c>
      <c r="D54" s="31" t="s">
        <v>48</v>
      </c>
      <c r="E54" s="43">
        <v>1</v>
      </c>
      <c r="F54" s="31" t="s">
        <v>49</v>
      </c>
    </row>
    <row r="55" spans="1:7" x14ac:dyDescent="0.25">
      <c r="A55" s="9" t="s">
        <v>44</v>
      </c>
      <c r="B55" s="32">
        <f>(1880-E26)*C16</f>
        <v>-1485</v>
      </c>
      <c r="C55" s="9" t="s">
        <v>45</v>
      </c>
      <c r="D55" s="31" t="s">
        <v>67</v>
      </c>
      <c r="E55" s="43">
        <v>1</v>
      </c>
    </row>
    <row r="56" spans="1:7" x14ac:dyDescent="0.25">
      <c r="B56" s="36">
        <f>SUM(B53:B55)</f>
        <v>675</v>
      </c>
      <c r="G56">
        <f>20/30*20</f>
        <v>13.333333333333332</v>
      </c>
    </row>
    <row r="57" spans="1:7" ht="14.45" customHeight="1" x14ac:dyDescent="0.25"/>
    <row r="59" spans="1:7" x14ac:dyDescent="0.25">
      <c r="A59" t="s">
        <v>62</v>
      </c>
      <c r="B59" t="s">
        <v>63</v>
      </c>
    </row>
    <row r="60" spans="1:7" x14ac:dyDescent="0.25">
      <c r="B60" t="s">
        <v>64</v>
      </c>
      <c r="F60" s="38">
        <v>1</v>
      </c>
    </row>
  </sheetData>
  <mergeCells count="5">
    <mergeCell ref="B21:D21"/>
    <mergeCell ref="E21:G21"/>
    <mergeCell ref="H21:H22"/>
    <mergeCell ref="A49:C49"/>
    <mergeCell ref="A43:B43"/>
  </mergeCells>
  <pageMargins left="0.7" right="0.7" top="0.75" bottom="0.75" header="0.3" footer="0.3"/>
  <pageSetup paperSize="9" scale="5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2020-12-29T08:50:30Z</cp:lastPrinted>
  <dcterms:created xsi:type="dcterms:W3CDTF">2019-02-26T10:06:22Z</dcterms:created>
  <dcterms:modified xsi:type="dcterms:W3CDTF">2020-12-29T08:53:09Z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33d745b1-2411-4bc9-92d8-f8195d21a499</vt:lpwstr>
  </property>
</Properties>
</file>