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M13 - M41F13/Année 2020 2021/Theme 1  Les écarts sur charges de production/"/>
    </mc:Choice>
  </mc:AlternateContent>
  <xr:revisionPtr revIDLastSave="0" documentId="8_{896E576D-9B6F-4C63-AEAA-4D7A40D62FBB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xercice 5" sheetId="4" r:id="rId1"/>
  </sheets>
  <calcPr calcId="191029"/>
</workbook>
</file>

<file path=xl/calcChain.xml><?xml version="1.0" encoding="utf-8"?>
<calcChain xmlns="http://schemas.openxmlformats.org/spreadsheetml/2006/main">
  <c r="K39" i="4" l="1"/>
  <c r="K38" i="4"/>
  <c r="C6" i="4" l="1"/>
  <c r="J46" i="4"/>
  <c r="J48" i="4" s="1"/>
  <c r="C5" i="4"/>
  <c r="C7" i="4" s="1"/>
  <c r="F27" i="4"/>
  <c r="F25" i="4"/>
  <c r="B27" i="4"/>
  <c r="D27" i="4"/>
  <c r="D25" i="4"/>
  <c r="D26" i="4" l="1"/>
  <c r="D28" i="4" l="1"/>
  <c r="C28" i="4" l="1"/>
  <c r="B48" i="4" l="1"/>
  <c r="B44" i="4"/>
  <c r="K34" i="4"/>
  <c r="K33" i="4"/>
  <c r="K35" i="4" s="1"/>
  <c r="D33" i="4"/>
  <c r="D38" i="4"/>
  <c r="D39" i="4"/>
  <c r="A32" i="4"/>
  <c r="A37" i="4" s="1"/>
  <c r="C18" i="4"/>
  <c r="B18" i="4"/>
  <c r="B17" i="4"/>
  <c r="B12" i="4"/>
  <c r="B11" i="4"/>
  <c r="B7" i="4"/>
  <c r="D17" i="4" l="1"/>
  <c r="D34" i="4" s="1"/>
  <c r="D35" i="4" s="1"/>
  <c r="E25" i="4"/>
  <c r="G25" i="4" s="1"/>
  <c r="D18" i="4"/>
  <c r="E26" i="4"/>
  <c r="F26" i="4"/>
  <c r="B19" i="4"/>
  <c r="E27" i="4" s="1"/>
  <c r="G27" i="4" s="1"/>
  <c r="H27" i="4" s="1"/>
  <c r="B13" i="4"/>
  <c r="G26" i="4" l="1"/>
  <c r="H26" i="4" s="1"/>
  <c r="H25" i="4"/>
  <c r="B46" i="4"/>
  <c r="B47" i="4"/>
  <c r="D19" i="4"/>
  <c r="D20" i="4" s="1"/>
  <c r="B49" i="4" l="1"/>
  <c r="G28" i="4"/>
  <c r="F28" i="4" l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5000€ / 500 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1000 / 125 = 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6800 / 500 = 13,60€ (Coût normal d'une UO)
UO -&gt; H MOD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8*100 = 800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4*100 = 400h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4*100 = 400 UO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(830-800)*6
</t>
        </r>
      </text>
    </comment>
    <comment ref="K3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(360-400)*53 = -2120€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(6,20-6)*830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(50-53)*360 = -1080€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360 * 10€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<sst xmlns="http://schemas.openxmlformats.org/spreadsheetml/2006/main" count="75" uniqueCount="48">
  <si>
    <t>Charges fixes</t>
  </si>
  <si>
    <t>Charges variables</t>
  </si>
  <si>
    <t>MOD</t>
  </si>
  <si>
    <t>Quantité</t>
  </si>
  <si>
    <t>Montant</t>
  </si>
  <si>
    <t xml:space="preserve">Cout réel : </t>
  </si>
  <si>
    <t>Cout préétabli adapté :</t>
  </si>
  <si>
    <t>ECART GLOBAL - Défavorable</t>
  </si>
  <si>
    <t>Ecart sur coût</t>
  </si>
  <si>
    <t>Ecart sur quantité</t>
  </si>
  <si>
    <t>Défavorable</t>
  </si>
  <si>
    <t>Favorable</t>
  </si>
  <si>
    <t>CUO Variable</t>
  </si>
  <si>
    <t>ECART GLOBAL</t>
  </si>
  <si>
    <t>Ecart sur budget</t>
  </si>
  <si>
    <t>Ecart sur activité</t>
  </si>
  <si>
    <t>Ecart sur rendement</t>
  </si>
  <si>
    <t>Charges variables indirectes</t>
  </si>
  <si>
    <t>Charges fixes indirectes</t>
  </si>
  <si>
    <t>Activité</t>
  </si>
  <si>
    <t>Coût total budget</t>
  </si>
  <si>
    <t>Coût Unitaire</t>
  </si>
  <si>
    <t>Charges directes</t>
  </si>
  <si>
    <t>-Matières Premières</t>
  </si>
  <si>
    <t>-MOD</t>
  </si>
  <si>
    <t xml:space="preserve">Charges indirectes </t>
  </si>
  <si>
    <t>COUT STANDARD PREETABLI</t>
  </si>
  <si>
    <t>Matière Premières</t>
  </si>
  <si>
    <t>ECART GLOBAL -Favorable</t>
  </si>
  <si>
    <t>Centre Atelier</t>
  </si>
  <si>
    <t>TOTAL</t>
  </si>
  <si>
    <t>Ecart global</t>
  </si>
  <si>
    <t>=5400 - (360*13,6)</t>
  </si>
  <si>
    <t>Budget flexible</t>
  </si>
  <si>
    <t>=(500-360)*3,6</t>
  </si>
  <si>
    <t>=(360-400)*13,6</t>
  </si>
  <si>
    <t>COUT REEL (100 Unités)</t>
  </si>
  <si>
    <t>500 HMOD -&gt; 500 UO</t>
  </si>
  <si>
    <t>=5796 - 5440</t>
  </si>
  <si>
    <t>=5796-5400</t>
  </si>
  <si>
    <t>Total budget activité normale</t>
  </si>
  <si>
    <t>6800 / 500</t>
  </si>
  <si>
    <t>D</t>
  </si>
  <si>
    <t>F</t>
  </si>
  <si>
    <t>Ecart sur prix (coût)</t>
  </si>
  <si>
    <t>CUO Fixes  (1800 / 500)</t>
  </si>
  <si>
    <t>COUT PREVU ADAPTE A LA PRODUCTION REELLE (100 barques)</t>
  </si>
  <si>
    <t>EXERCICE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</si>
</sst>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0" fillId="0" borderId="1" xfId="0" quotePrefix="1" applyBorder="1"/>
    <xf numFmtId="0" fontId="0" fillId="0" borderId="0" xfId="0" quotePrefix="1"/>
    <xf numFmtId="164" fontId="2" fillId="2" borderId="1" xfId="0" applyNumberFormat="1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164" fontId="2" fillId="2" borderId="0" xfId="0" applyNumberFormat="1" applyFont="1" applyFill="1"/>
    <xf numFmtId="44" fontId="2" fillId="2" borderId="1" xfId="0" applyNumberFormat="1" applyFont="1" applyFill="1" applyBorder="1"/>
    <xf numFmtId="44" fontId="0" fillId="2" borderId="1" xfId="0" applyNumberFormat="1" applyFill="1" applyBorder="1"/>
    <xf numFmtId="44" fontId="0" fillId="3" borderId="1" xfId="0" applyNumberFormat="1" applyFill="1" applyBorder="1"/>
    <xf numFmtId="44" fontId="2" fillId="3" borderId="1" xfId="0" applyNumberFormat="1" applyFont="1" applyFill="1" applyBorder="1"/>
    <xf numFmtId="44" fontId="0" fillId="4" borderId="1" xfId="1" applyFont="1" applyFill="1" applyBorder="1"/>
    <xf numFmtId="0" fontId="0" fillId="2" borderId="0" xfId="0" quotePrefix="1" applyFill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637442</xdr:colOff>
      <xdr:row>53</xdr:row>
      <xdr:rowOff>1</xdr:rowOff>
    </xdr:from>
    <xdr:to>
      <xdr:col>5</xdr:col>
      <xdr:colOff>681403</xdr:colOff>
      <xdr:row>56</xdr:row>
      <xdr:rowOff>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7442" y="10308982"/>
          <a:ext cx="491636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360UO * 16,10 =&gt;</a:t>
          </a:r>
          <a:r>
            <a:rPr lang="fr-FR" sz="1100" baseline="0"/>
            <a:t>  5796€  Coût réel</a:t>
          </a:r>
        </a:p>
        <a:p>
          <a:r>
            <a:rPr lang="fr-FR" sz="1100" baseline="0"/>
            <a:t>400UO * 13,60 =&gt; 5440€ Coût prévu adapté à la production réelle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showGridLines="0" tabSelected="1" zoomScale="130" zoomScaleNormal="130" workbookViewId="0">
      <selection activeCell="D7" sqref="D7"/>
    </sheetView>
  </sheetViews>
  <sheetFormatPr baseColWidth="10" defaultRowHeight="15" x14ac:dyDescent="0.25"/>
  <cols>
    <col min="1" max="1" width="26" bestFit="1" customWidth="1"/>
    <col min="4" max="4" width="12.7109375" customWidth="1"/>
    <col min="6" max="6" width="14.28515625" bestFit="1" customWidth="1"/>
    <col min="7" max="7" width="12.5703125" bestFit="1" customWidth="1"/>
    <col min="9" max="9" width="18.140625" customWidth="1"/>
    <col min="11" max="11" width="12.5703125" bestFit="1" customWidth="1"/>
  </cols>
  <sheetData>
    <row r="1" spans="1:12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4" spans="1:12" x14ac:dyDescent="0.25">
      <c r="A4" t="s">
        <v>37</v>
      </c>
    </row>
    <row r="5" spans="1:12" x14ac:dyDescent="0.25">
      <c r="A5" s="1" t="s">
        <v>17</v>
      </c>
      <c r="B5" s="4">
        <v>5000</v>
      </c>
      <c r="C5" s="6">
        <f>B5/500</f>
        <v>10</v>
      </c>
      <c r="D5" t="s">
        <v>12</v>
      </c>
    </row>
    <row r="6" spans="1:12" x14ac:dyDescent="0.25">
      <c r="A6" s="1" t="s">
        <v>18</v>
      </c>
      <c r="B6" s="4">
        <v>1800</v>
      </c>
      <c r="C6" s="6">
        <f>B6/500</f>
        <v>3.6</v>
      </c>
      <c r="D6" t="s">
        <v>45</v>
      </c>
    </row>
    <row r="7" spans="1:12" x14ac:dyDescent="0.25">
      <c r="A7" s="8" t="s">
        <v>40</v>
      </c>
      <c r="B7" s="10">
        <f>B5+B6</f>
        <v>6800</v>
      </c>
      <c r="C7" s="6">
        <f>C5+C6</f>
        <v>13.6</v>
      </c>
      <c r="D7" s="22" t="s">
        <v>41</v>
      </c>
    </row>
    <row r="9" spans="1:12" x14ac:dyDescent="0.25">
      <c r="A9" s="30" t="s">
        <v>33</v>
      </c>
      <c r="B9" s="30"/>
    </row>
    <row r="10" spans="1:12" x14ac:dyDescent="0.25">
      <c r="A10" s="5" t="s">
        <v>19</v>
      </c>
      <c r="B10" s="5">
        <v>360</v>
      </c>
    </row>
    <row r="11" spans="1:12" x14ac:dyDescent="0.25">
      <c r="A11" s="1" t="s">
        <v>1</v>
      </c>
      <c r="B11" s="7">
        <f>$B$5/500*B10</f>
        <v>3600</v>
      </c>
    </row>
    <row r="12" spans="1:12" x14ac:dyDescent="0.25">
      <c r="A12" s="1" t="s">
        <v>0</v>
      </c>
      <c r="B12" s="7">
        <f>B6</f>
        <v>1800</v>
      </c>
    </row>
    <row r="13" spans="1:12" x14ac:dyDescent="0.25">
      <c r="A13" s="1" t="s">
        <v>20</v>
      </c>
      <c r="B13" s="7">
        <f>B11+B12</f>
        <v>5400</v>
      </c>
    </row>
    <row r="15" spans="1:12" x14ac:dyDescent="0.25">
      <c r="A15" s="1"/>
      <c r="B15" s="5" t="s">
        <v>3</v>
      </c>
      <c r="C15" s="5" t="s">
        <v>21</v>
      </c>
      <c r="D15" s="5" t="s">
        <v>4</v>
      </c>
    </row>
    <row r="16" spans="1:12" x14ac:dyDescent="0.25">
      <c r="A16" s="8" t="s">
        <v>22</v>
      </c>
      <c r="B16" s="1"/>
      <c r="C16" s="1"/>
      <c r="D16" s="1"/>
    </row>
    <row r="17" spans="1:11" x14ac:dyDescent="0.25">
      <c r="A17" s="11" t="s">
        <v>23</v>
      </c>
      <c r="B17" s="1">
        <f>1000/125</f>
        <v>8</v>
      </c>
      <c r="C17" s="21">
        <v>6</v>
      </c>
      <c r="D17" s="4">
        <f>B17*C17</f>
        <v>48</v>
      </c>
    </row>
    <row r="18" spans="1:11" x14ac:dyDescent="0.25">
      <c r="A18" s="11" t="s">
        <v>24</v>
      </c>
      <c r="B18" s="1">
        <f>500/125</f>
        <v>4</v>
      </c>
      <c r="C18" s="21">
        <f>53</f>
        <v>53</v>
      </c>
      <c r="D18" s="4">
        <f>B18*C18</f>
        <v>212</v>
      </c>
    </row>
    <row r="19" spans="1:11" x14ac:dyDescent="0.25">
      <c r="A19" s="8" t="s">
        <v>25</v>
      </c>
      <c r="B19" s="1">
        <f>B18</f>
        <v>4</v>
      </c>
      <c r="C19" s="21">
        <v>13.6</v>
      </c>
      <c r="D19" s="4">
        <f>B19*C19</f>
        <v>54.4</v>
      </c>
    </row>
    <row r="20" spans="1:11" x14ac:dyDescent="0.25">
      <c r="A20" s="27" t="s">
        <v>26</v>
      </c>
      <c r="B20" s="28"/>
      <c r="C20" s="29"/>
      <c r="D20" s="17">
        <f>SUM(D17:D19)</f>
        <v>314.39999999999998</v>
      </c>
    </row>
    <row r="22" spans="1:11" ht="30.6" customHeight="1" x14ac:dyDescent="0.25">
      <c r="B22" s="35" t="s">
        <v>36</v>
      </c>
      <c r="C22" s="35"/>
      <c r="D22" s="35"/>
      <c r="E22" s="36" t="s">
        <v>46</v>
      </c>
      <c r="F22" s="36"/>
      <c r="G22" s="36"/>
    </row>
    <row r="23" spans="1:11" x14ac:dyDescent="0.25">
      <c r="A23" s="1"/>
      <c r="B23" s="15" t="s">
        <v>3</v>
      </c>
      <c r="C23" s="15" t="s">
        <v>21</v>
      </c>
      <c r="D23" s="15" t="s">
        <v>4</v>
      </c>
      <c r="E23" s="15" t="s">
        <v>3</v>
      </c>
      <c r="F23" s="15" t="s">
        <v>21</v>
      </c>
      <c r="G23" s="15" t="s">
        <v>4</v>
      </c>
      <c r="H23" s="33" t="s">
        <v>31</v>
      </c>
    </row>
    <row r="24" spans="1:11" x14ac:dyDescent="0.25">
      <c r="A24" s="8" t="s">
        <v>22</v>
      </c>
      <c r="B24" s="1"/>
      <c r="C24" s="1"/>
      <c r="D24" s="1"/>
      <c r="E24" s="1"/>
      <c r="F24" s="1"/>
      <c r="G24" s="1"/>
      <c r="H24" s="34"/>
    </row>
    <row r="25" spans="1:11" x14ac:dyDescent="0.25">
      <c r="A25" s="11" t="s">
        <v>23</v>
      </c>
      <c r="B25" s="1">
        <v>830</v>
      </c>
      <c r="C25" s="4">
        <v>6.2</v>
      </c>
      <c r="D25" s="4">
        <f>B25*C25</f>
        <v>5146</v>
      </c>
      <c r="E25" s="1">
        <f>B17*100</f>
        <v>800</v>
      </c>
      <c r="F25" s="21">
        <f>+C17</f>
        <v>6</v>
      </c>
      <c r="G25" s="4">
        <f>E25*F25</f>
        <v>4800</v>
      </c>
      <c r="H25" s="19">
        <f>D25-G25</f>
        <v>346</v>
      </c>
      <c r="I25" t="s">
        <v>42</v>
      </c>
    </row>
    <row r="26" spans="1:11" x14ac:dyDescent="0.25">
      <c r="A26" s="11" t="s">
        <v>24</v>
      </c>
      <c r="B26" s="1">
        <v>360</v>
      </c>
      <c r="C26" s="4">
        <v>50</v>
      </c>
      <c r="D26" s="4">
        <f>B26*C26</f>
        <v>18000</v>
      </c>
      <c r="E26" s="1">
        <f>B18*100</f>
        <v>400</v>
      </c>
      <c r="F26" s="21">
        <f>+C18</f>
        <v>53</v>
      </c>
      <c r="G26" s="4">
        <f>E26*F26</f>
        <v>21200</v>
      </c>
      <c r="H26" s="7">
        <f>D26-G26</f>
        <v>-3200</v>
      </c>
      <c r="I26" t="s">
        <v>43</v>
      </c>
    </row>
    <row r="27" spans="1:11" x14ac:dyDescent="0.25">
      <c r="A27" s="8" t="s">
        <v>25</v>
      </c>
      <c r="B27" s="1">
        <f>+B26</f>
        <v>360</v>
      </c>
      <c r="C27" s="4">
        <v>16.100000000000001</v>
      </c>
      <c r="D27" s="10">
        <f>B27*C27</f>
        <v>5796.0000000000009</v>
      </c>
      <c r="E27" s="1">
        <f>B19*100</f>
        <v>400</v>
      </c>
      <c r="F27" s="21">
        <f>+C19</f>
        <v>13.6</v>
      </c>
      <c r="G27" s="4">
        <f>E27*F27</f>
        <v>5440</v>
      </c>
      <c r="H27" s="7">
        <f>D27-G27</f>
        <v>356.00000000000091</v>
      </c>
      <c r="I27" t="s">
        <v>42</v>
      </c>
    </row>
    <row r="28" spans="1:11" x14ac:dyDescent="0.25">
      <c r="A28" s="1" t="s">
        <v>30</v>
      </c>
      <c r="B28" s="1">
        <v>100</v>
      </c>
      <c r="C28" s="18">
        <f>D28/B28</f>
        <v>289.42</v>
      </c>
      <c r="D28" s="7">
        <f>SUM(D25:D27)</f>
        <v>28942</v>
      </c>
      <c r="E28" s="1">
        <v>100</v>
      </c>
      <c r="F28" s="18">
        <f>G28/E28</f>
        <v>314.39999999999998</v>
      </c>
      <c r="G28" s="7">
        <f>SUM(G25:G27)</f>
        <v>31440</v>
      </c>
      <c r="H28" s="7">
        <f>D28-G28</f>
        <v>-2498</v>
      </c>
    </row>
    <row r="30" spans="1:11" ht="15.75" x14ac:dyDescent="0.25">
      <c r="A30" s="23" t="s">
        <v>27</v>
      </c>
      <c r="B30" s="23"/>
      <c r="C30" s="23"/>
      <c r="D30" s="23"/>
      <c r="H30" s="23" t="s">
        <v>2</v>
      </c>
      <c r="I30" s="23"/>
      <c r="J30" s="23"/>
      <c r="K30" s="23"/>
    </row>
    <row r="32" spans="1:11" ht="15.75" x14ac:dyDescent="0.25">
      <c r="A32" s="23" t="str">
        <f>A30</f>
        <v>Matière Premières</v>
      </c>
      <c r="B32" s="23"/>
      <c r="C32" s="23"/>
      <c r="D32" s="23"/>
      <c r="H32" s="23" t="s">
        <v>2</v>
      </c>
      <c r="I32" s="23"/>
      <c r="J32" s="23"/>
      <c r="K32" s="23"/>
    </row>
    <row r="33" spans="1:12" x14ac:dyDescent="0.25">
      <c r="A33" s="24" t="s">
        <v>5</v>
      </c>
      <c r="B33" s="25"/>
      <c r="C33" s="26"/>
      <c r="D33" s="7">
        <f>830*6.2</f>
        <v>5146</v>
      </c>
      <c r="H33" s="24" t="s">
        <v>5</v>
      </c>
      <c r="I33" s="25"/>
      <c r="J33" s="26"/>
      <c r="K33" s="7">
        <f>360*50</f>
        <v>18000</v>
      </c>
    </row>
    <row r="34" spans="1:12" x14ac:dyDescent="0.25">
      <c r="A34" s="24" t="s">
        <v>6</v>
      </c>
      <c r="B34" s="25"/>
      <c r="C34" s="26"/>
      <c r="D34" s="7">
        <f>100*D17</f>
        <v>4800</v>
      </c>
      <c r="H34" s="24" t="s">
        <v>6</v>
      </c>
      <c r="I34" s="25"/>
      <c r="J34" s="26"/>
      <c r="K34" s="7">
        <f>400*53</f>
        <v>21200</v>
      </c>
    </row>
    <row r="35" spans="1:12" x14ac:dyDescent="0.25">
      <c r="A35" s="27" t="s">
        <v>7</v>
      </c>
      <c r="B35" s="28"/>
      <c r="C35" s="29"/>
      <c r="D35" s="20">
        <f>D33-D34</f>
        <v>346</v>
      </c>
      <c r="H35" s="27" t="s">
        <v>28</v>
      </c>
      <c r="I35" s="28"/>
      <c r="J35" s="29"/>
      <c r="K35" s="9">
        <f>K33-K34</f>
        <v>-3200</v>
      </c>
    </row>
    <row r="37" spans="1:12" ht="15.75" x14ac:dyDescent="0.25">
      <c r="A37" s="23" t="str">
        <f>A32</f>
        <v>Matière Premières</v>
      </c>
      <c r="B37" s="23"/>
      <c r="C37" s="23"/>
      <c r="D37" s="23"/>
      <c r="H37" s="23" t="s">
        <v>2</v>
      </c>
      <c r="I37" s="23"/>
      <c r="J37" s="23"/>
      <c r="K37" s="23"/>
    </row>
    <row r="38" spans="1:12" x14ac:dyDescent="0.25">
      <c r="A38" s="24" t="s">
        <v>9</v>
      </c>
      <c r="B38" s="25"/>
      <c r="C38" s="26"/>
      <c r="D38" s="7">
        <f>(830-800)*C17</f>
        <v>180</v>
      </c>
      <c r="E38" t="s">
        <v>10</v>
      </c>
      <c r="H38" s="24" t="s">
        <v>9</v>
      </c>
      <c r="I38" s="25"/>
      <c r="J38" s="26"/>
      <c r="K38" s="7">
        <f>(360-400)*53</f>
        <v>-2120</v>
      </c>
      <c r="L38" t="s">
        <v>11</v>
      </c>
    </row>
    <row r="39" spans="1:12" x14ac:dyDescent="0.25">
      <c r="A39" s="24" t="s">
        <v>44</v>
      </c>
      <c r="B39" s="25"/>
      <c r="C39" s="26"/>
      <c r="D39" s="7">
        <f>(6.2-C17)*830</f>
        <v>166.00000000000014</v>
      </c>
      <c r="E39" t="s">
        <v>10</v>
      </c>
      <c r="H39" s="24" t="s">
        <v>8</v>
      </c>
      <c r="I39" s="25"/>
      <c r="J39" s="26"/>
      <c r="K39" s="7">
        <f>(50-53)*360</f>
        <v>-1080</v>
      </c>
      <c r="L39" t="s">
        <v>11</v>
      </c>
    </row>
    <row r="42" spans="1:12" x14ac:dyDescent="0.25">
      <c r="A42" s="31" t="s">
        <v>29</v>
      </c>
      <c r="B42" s="31"/>
      <c r="C42" s="31"/>
    </row>
    <row r="44" spans="1:12" x14ac:dyDescent="0.25">
      <c r="A44" s="1" t="s">
        <v>13</v>
      </c>
      <c r="B44" s="13">
        <f>360*16.1-(400*13.6)</f>
        <v>356.00000000000091</v>
      </c>
      <c r="C44" s="1" t="s">
        <v>10</v>
      </c>
      <c r="D44" s="12" t="s">
        <v>38</v>
      </c>
      <c r="I44" s="30" t="s">
        <v>33</v>
      </c>
      <c r="J44" s="30"/>
    </row>
    <row r="45" spans="1:12" x14ac:dyDescent="0.25">
      <c r="I45" s="15" t="s">
        <v>19</v>
      </c>
      <c r="J45" s="15">
        <v>360</v>
      </c>
    </row>
    <row r="46" spans="1:12" x14ac:dyDescent="0.25">
      <c r="A46" s="1" t="s">
        <v>14</v>
      </c>
      <c r="B46" s="3">
        <f>360*16.1-B13</f>
        <v>396.00000000000091</v>
      </c>
      <c r="C46" s="1" t="s">
        <v>10</v>
      </c>
      <c r="D46" s="12" t="s">
        <v>39</v>
      </c>
      <c r="I46" s="1" t="s">
        <v>1</v>
      </c>
      <c r="J46" s="7">
        <f>10*360</f>
        <v>3600</v>
      </c>
    </row>
    <row r="47" spans="1:12" x14ac:dyDescent="0.25">
      <c r="A47" s="1" t="s">
        <v>15</v>
      </c>
      <c r="B47" s="2">
        <f>B13-C19*B10</f>
        <v>504</v>
      </c>
      <c r="C47" s="1" t="s">
        <v>10</v>
      </c>
      <c r="D47" s="12" t="s">
        <v>32</v>
      </c>
      <c r="F47" s="12" t="s">
        <v>34</v>
      </c>
      <c r="I47" s="1" t="s">
        <v>0</v>
      </c>
      <c r="J47" s="7">
        <v>1800</v>
      </c>
    </row>
    <row r="48" spans="1:12" x14ac:dyDescent="0.25">
      <c r="A48" s="1" t="s">
        <v>16</v>
      </c>
      <c r="B48" s="3">
        <f>(360-400)*C19</f>
        <v>-544</v>
      </c>
      <c r="C48" s="1" t="s">
        <v>11</v>
      </c>
      <c r="D48" s="12" t="s">
        <v>35</v>
      </c>
      <c r="I48" s="14" t="s">
        <v>20</v>
      </c>
      <c r="J48" s="20">
        <f>J46+J47</f>
        <v>5400</v>
      </c>
    </row>
    <row r="49" spans="2:10" x14ac:dyDescent="0.25">
      <c r="B49" s="16">
        <f>SUM(B46:B48)</f>
        <v>356.00000000000091</v>
      </c>
      <c r="J49" s="6"/>
    </row>
  </sheetData>
  <mergeCells count="24">
    <mergeCell ref="A1:L1"/>
    <mergeCell ref="A37:D37"/>
    <mergeCell ref="A38:C38"/>
    <mergeCell ref="A20:C20"/>
    <mergeCell ref="A9:B9"/>
    <mergeCell ref="H23:H24"/>
    <mergeCell ref="A30:D30"/>
    <mergeCell ref="A32:D32"/>
    <mergeCell ref="A33:C33"/>
    <mergeCell ref="B22:D22"/>
    <mergeCell ref="E22:G22"/>
    <mergeCell ref="H30:K30"/>
    <mergeCell ref="H32:K32"/>
    <mergeCell ref="H33:J33"/>
    <mergeCell ref="H34:J34"/>
    <mergeCell ref="H35:J35"/>
    <mergeCell ref="I44:J44"/>
    <mergeCell ref="A34:C34"/>
    <mergeCell ref="A35:C35"/>
    <mergeCell ref="H39:J39"/>
    <mergeCell ref="H38:J38"/>
    <mergeCell ref="A42:C42"/>
    <mergeCell ref="A39:C39"/>
    <mergeCell ref="H37:K37"/>
  </mergeCells>
  <pageMargins left="0.7" right="0.7" top="0.75" bottom="0.75" header="0.3" footer="0.3"/>
  <pageSetup paperSize="9"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2019-02-07T19:48:50Z</cp:lastPrinted>
  <dcterms:created xsi:type="dcterms:W3CDTF">2016-07-28T12:40:28Z</dcterms:created>
  <dcterms:modified xsi:type="dcterms:W3CDTF">2020-12-14T12:44:02Z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e25ce5cb-cf8d-4582-809e-780cd3ef94b3</vt:lpwstr>
  </property>
</Properties>
</file>