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41M13 - M41F13/Année 2020 2021/Theme 1  Les écarts sur charges de production/"/>
    </mc:Choice>
  </mc:AlternateContent>
  <xr:revisionPtr revIDLastSave="0" documentId="8_{23979E97-A243-49E2-8D15-CECA8D9C27CE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Corrig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D54" i="1"/>
  <c r="D45" i="1" l="1"/>
  <c r="D41" i="1" l="1"/>
  <c r="B41" i="1"/>
  <c r="D40" i="1" l="1"/>
  <c r="E24" i="1" l="1"/>
  <c r="B59" i="1" l="1"/>
  <c r="B63" i="1"/>
  <c r="B58" i="1"/>
  <c r="B40" i="1"/>
  <c r="C27" i="1"/>
  <c r="C25" i="1"/>
  <c r="C26" i="1"/>
  <c r="C28" i="1"/>
  <c r="C54" i="1" s="1"/>
  <c r="C29" i="1"/>
  <c r="C30" i="1"/>
  <c r="B24" i="1"/>
  <c r="C24" i="1" s="1"/>
  <c r="F25" i="1"/>
  <c r="F26" i="1"/>
  <c r="F27" i="1"/>
  <c r="F28" i="1"/>
  <c r="F24" i="1"/>
  <c r="G24" i="1" s="1"/>
  <c r="H24" i="1" s="1"/>
  <c r="B42" i="1" s="1"/>
  <c r="E29" i="1"/>
  <c r="E28" i="1"/>
  <c r="E54" i="1" s="1"/>
  <c r="E27" i="1"/>
  <c r="D44" i="1" s="1"/>
  <c r="E26" i="1"/>
  <c r="E25" i="1"/>
  <c r="G25" i="1" s="1"/>
  <c r="H25" i="1" s="1"/>
  <c r="A25" i="1"/>
  <c r="A26" i="1"/>
  <c r="A27" i="1"/>
  <c r="A28" i="1"/>
  <c r="A54" i="1" s="1"/>
  <c r="A29" i="1"/>
  <c r="A30" i="1"/>
  <c r="C18" i="1"/>
  <c r="C8" i="1" s="1"/>
  <c r="D18" i="1"/>
  <c r="C9" i="1" s="1"/>
  <c r="B18" i="1"/>
  <c r="D7" i="1"/>
  <c r="B64" i="1" l="1"/>
  <c r="F54" i="1"/>
  <c r="G26" i="1"/>
  <c r="H26" i="1" s="1"/>
  <c r="B45" i="1"/>
  <c r="G27" i="1"/>
  <c r="G28" i="1"/>
  <c r="D9" i="1"/>
  <c r="D10" i="1" s="1"/>
  <c r="F30" i="1"/>
  <c r="G30" i="1" s="1"/>
  <c r="H30" i="1" s="1"/>
  <c r="F29" i="1"/>
  <c r="G29" i="1" s="1"/>
  <c r="H29" i="1" s="1"/>
  <c r="D8" i="1"/>
  <c r="B44" i="1"/>
  <c r="B60" i="1"/>
  <c r="B62" i="1" s="1"/>
  <c r="B65" i="1" s="1"/>
  <c r="H27" i="1"/>
  <c r="D42" i="1" s="1"/>
  <c r="H28" i="1" l="1"/>
  <c r="H54" i="1" s="1"/>
  <c r="G54" i="1"/>
  <c r="H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35280 - (8500*5)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33250 - (8500*4)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 xr:uid="{00000000-0006-0000-0000-000003000000}">
      <text>
        <r>
          <rPr>
            <sz val="9"/>
            <color indexed="81"/>
            <rFont val="Tahoma"/>
            <family val="2"/>
          </rPr>
          <t>8250*0,250 = &gt; 2125 Kg
7820 * 0,250 = &gt; 1955 Kg
2125 - 1955 =&gt; 170Kg
170 * 20 = &gt; 3400€</t>
        </r>
      </text>
    </comment>
    <comment ref="B4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(1960-1955)*20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(18-20)*1960</t>
        </r>
      </text>
    </comment>
    <comment ref="B5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(10875/2125)*1960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13328 - 14030,59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14030,59 - (1960*7)
ou
(2125-1960)*CUO Fixe (1,88)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(1960-1955)*7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<sst xmlns="http://schemas.openxmlformats.org/spreadsheetml/2006/main" count="249" uniqueCount="52">
  <si>
    <t>Matière 1ère</t>
  </si>
  <si>
    <t>Pot de verre</t>
  </si>
  <si>
    <t>Etiquette</t>
  </si>
  <si>
    <t>MOD</t>
  </si>
  <si>
    <t>Atelier préparation</t>
  </si>
  <si>
    <t>Atelier stérilisation</t>
  </si>
  <si>
    <t>Atelier Etiquetage</t>
  </si>
  <si>
    <t>Q</t>
  </si>
  <si>
    <t>PU</t>
  </si>
  <si>
    <t>M</t>
  </si>
  <si>
    <t>250g</t>
  </si>
  <si>
    <t>10mn</t>
  </si>
  <si>
    <t>0,25 UO</t>
  </si>
  <si>
    <t>COUT UNITAIRE STANDARD</t>
  </si>
  <si>
    <t>Préparation</t>
  </si>
  <si>
    <t>Stérilisation</t>
  </si>
  <si>
    <t>Etiquetage</t>
  </si>
  <si>
    <t>Charges variables</t>
  </si>
  <si>
    <t>Charges fixes</t>
  </si>
  <si>
    <t>UO</t>
  </si>
  <si>
    <t>Nbre UO</t>
  </si>
  <si>
    <t>CUO</t>
  </si>
  <si>
    <t>Kg préparé</t>
  </si>
  <si>
    <t>Pots stérilisé</t>
  </si>
  <si>
    <t>Pots étiquetés</t>
  </si>
  <si>
    <t>1 UO</t>
  </si>
  <si>
    <t>ECARTS</t>
  </si>
  <si>
    <t>F</t>
  </si>
  <si>
    <t>D</t>
  </si>
  <si>
    <t>M. P</t>
  </si>
  <si>
    <t>Ecart total</t>
  </si>
  <si>
    <t>Ecart sur volume</t>
  </si>
  <si>
    <t>Ecart global</t>
  </si>
  <si>
    <t>E/ QTE</t>
  </si>
  <si>
    <t>E/ PRIX</t>
  </si>
  <si>
    <t>1960 uo</t>
  </si>
  <si>
    <t>TOTAL</t>
  </si>
  <si>
    <t>E/ Budget</t>
  </si>
  <si>
    <t>E/ Activité</t>
  </si>
  <si>
    <t>E/ Rendement</t>
  </si>
  <si>
    <t>ECART GLOBAL</t>
  </si>
  <si>
    <t xml:space="preserve">Production réelle : </t>
  </si>
  <si>
    <t>COUT REEL</t>
  </si>
  <si>
    <t>COUT PREETABLI ADAPTE A LA PRODUCTION REELLE</t>
  </si>
  <si>
    <t>Budget flexible</t>
  </si>
  <si>
    <t>Matière 1ère (Kg)</t>
  </si>
  <si>
    <t>ACTIVITE REELLE</t>
  </si>
  <si>
    <t>ACTIVITE ADAPTEE</t>
  </si>
  <si>
    <t>4000€ / 2125 =&gt; 1,88€</t>
  </si>
  <si>
    <t xml:space="preserve">Question 1 </t>
  </si>
  <si>
    <t>Question 2</t>
  </si>
  <si>
    <t>Question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</si>
</sst>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00\ &quot;€&quot;_-;\-* #,##0.00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44" fontId="2" fillId="0" borderId="1" xfId="0" applyNumberFormat="1" applyFont="1" applyBorder="1"/>
    <xf numFmtId="164" fontId="0" fillId="0" borderId="1" xfId="1" applyNumberFormat="1" applyFont="1" applyBorder="1"/>
    <xf numFmtId="0" fontId="2" fillId="0" borderId="1" xfId="0" applyFont="1" applyBorder="1"/>
    <xf numFmtId="44" fontId="2" fillId="0" borderId="1" xfId="1" applyFont="1" applyBorder="1"/>
    <xf numFmtId="44" fontId="2" fillId="0" borderId="0" xfId="0" applyNumberFormat="1" applyFont="1"/>
    <xf numFmtId="44" fontId="0" fillId="2" borderId="1" xfId="1" applyFont="1" applyFill="1" applyBorder="1"/>
    <xf numFmtId="44" fontId="0" fillId="2" borderId="1" xfId="0" applyNumberFormat="1" applyFill="1" applyBorder="1"/>
    <xf numFmtId="0" fontId="0" fillId="2" borderId="1" xfId="0" applyFill="1" applyBorder="1"/>
    <xf numFmtId="44" fontId="2" fillId="2" borderId="1" xfId="0" applyNumberFormat="1" applyFont="1" applyFill="1" applyBorder="1"/>
    <xf numFmtId="0" fontId="0" fillId="0" borderId="0" xfId="0" applyFill="1" applyBorder="1"/>
    <xf numFmtId="0" fontId="0" fillId="0" borderId="1" xfId="0" applyFill="1" applyBorder="1"/>
    <xf numFmtId="44" fontId="0" fillId="0" borderId="1" xfId="1" applyFont="1" applyFill="1" applyBorder="1"/>
    <xf numFmtId="44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44" fontId="0" fillId="0" borderId="0" xfId="0" applyNumberFormat="1" applyFill="1" applyBorder="1"/>
    <xf numFmtId="165" fontId="0" fillId="0" borderId="1" xfId="0" applyNumberFormat="1" applyFill="1" applyBorder="1"/>
    <xf numFmtId="44" fontId="2" fillId="2" borderId="1" xfId="1" applyFont="1" applyFill="1" applyBorder="1"/>
    <xf numFmtId="0" fontId="0" fillId="0" borderId="0" xfId="0" quotePrefix="1"/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NumberFormat="1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/>
    <xf numFmtId="165" fontId="0" fillId="0" borderId="1" xfId="1" applyNumberFormat="1" applyFont="1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6"/>
  <sheetViews>
    <sheetView showGridLines="0" tabSelected="1" topLeftCell="A37" zoomScale="150" zoomScaleNormal="150" workbookViewId="0">
      <selection activeCell="A28" sqref="A28:H28"/>
    </sheetView>
  </sheetViews>
  <sheetFormatPr baseColWidth="10" defaultRowHeight="15" x14ac:dyDescent="0.25"/>
  <cols>
    <col min="1" max="1" width="16.42578125" bestFit="1" customWidth="1"/>
    <col min="2" max="2" width="12.7109375" bestFit="1" customWidth="1"/>
    <col min="3" max="3" width="11.7109375" bestFit="1" customWidth="1"/>
    <col min="4" max="4" width="14.140625" bestFit="1" customWidth="1"/>
    <col min="5" max="5" width="13.85546875" customWidth="1"/>
    <col min="6" max="6" width="15.7109375" customWidth="1"/>
    <col min="7" max="7" width="19.7109375" customWidth="1"/>
    <col min="8" max="8" width="11.85546875" bestFit="1" customWidth="1"/>
  </cols>
  <sheetData>
    <row r="2" spans="1:4" x14ac:dyDescent="0.25">
      <c r="A2" s="2"/>
      <c r="B2" s="3" t="s">
        <v>7</v>
      </c>
      <c r="C2" s="3" t="s">
        <v>8</v>
      </c>
      <c r="D2" s="3" t="s">
        <v>9</v>
      </c>
    </row>
    <row r="3" spans="1:4" x14ac:dyDescent="0.25">
      <c r="A3" s="16" t="s">
        <v>0</v>
      </c>
      <c r="B3" s="28" t="s">
        <v>10</v>
      </c>
      <c r="C3" s="17">
        <v>20</v>
      </c>
      <c r="D3" s="17">
        <v>5</v>
      </c>
    </row>
    <row r="4" spans="1:4" x14ac:dyDescent="0.25">
      <c r="A4" s="16" t="s">
        <v>1</v>
      </c>
      <c r="B4" s="28">
        <v>1</v>
      </c>
      <c r="C4" s="17">
        <v>0.25</v>
      </c>
      <c r="D4" s="17">
        <v>0.25</v>
      </c>
    </row>
    <row r="5" spans="1:4" x14ac:dyDescent="0.25">
      <c r="A5" s="16" t="s">
        <v>2</v>
      </c>
      <c r="B5" s="28">
        <v>1</v>
      </c>
      <c r="C5" s="17">
        <v>0.05</v>
      </c>
      <c r="D5" s="17">
        <v>0.05</v>
      </c>
    </row>
    <row r="6" spans="1:4" x14ac:dyDescent="0.25">
      <c r="A6" s="16" t="s">
        <v>3</v>
      </c>
      <c r="B6" s="28" t="s">
        <v>11</v>
      </c>
      <c r="C6" s="17">
        <v>24</v>
      </c>
      <c r="D6" s="17">
        <v>4</v>
      </c>
    </row>
    <row r="7" spans="1:4" x14ac:dyDescent="0.25">
      <c r="A7" s="16" t="s">
        <v>4</v>
      </c>
      <c r="B7" s="28" t="s">
        <v>12</v>
      </c>
      <c r="C7" s="17">
        <v>7</v>
      </c>
      <c r="D7" s="29">
        <f>C7*0.25</f>
        <v>1.75</v>
      </c>
    </row>
    <row r="8" spans="1:4" x14ac:dyDescent="0.25">
      <c r="A8" s="16" t="s">
        <v>5</v>
      </c>
      <c r="B8" s="28" t="s">
        <v>25</v>
      </c>
      <c r="C8" s="17">
        <f>C18</f>
        <v>0.8</v>
      </c>
      <c r="D8" s="17">
        <f>C8</f>
        <v>0.8</v>
      </c>
    </row>
    <row r="9" spans="1:4" x14ac:dyDescent="0.25">
      <c r="A9" s="16" t="s">
        <v>6</v>
      </c>
      <c r="B9" s="28" t="s">
        <v>25</v>
      </c>
      <c r="C9" s="17">
        <f>D18</f>
        <v>1</v>
      </c>
      <c r="D9" s="17">
        <f>C9</f>
        <v>1</v>
      </c>
    </row>
    <row r="10" spans="1:4" x14ac:dyDescent="0.25">
      <c r="A10" s="25" t="s">
        <v>13</v>
      </c>
      <c r="B10" s="25"/>
      <c r="C10" s="25"/>
      <c r="D10" s="6">
        <f>SUM(D3:D9)</f>
        <v>12.850000000000001</v>
      </c>
    </row>
    <row r="13" spans="1:4" x14ac:dyDescent="0.25">
      <c r="A13" s="2"/>
      <c r="B13" s="8" t="s">
        <v>14</v>
      </c>
      <c r="C13" s="8" t="s">
        <v>15</v>
      </c>
      <c r="D13" s="8" t="s">
        <v>16</v>
      </c>
    </row>
    <row r="14" spans="1:4" x14ac:dyDescent="0.25">
      <c r="A14" s="2" t="s">
        <v>17</v>
      </c>
      <c r="B14" s="7">
        <v>10875</v>
      </c>
      <c r="C14" s="7">
        <v>1300</v>
      </c>
      <c r="D14" s="7">
        <v>4800</v>
      </c>
    </row>
    <row r="15" spans="1:4" x14ac:dyDescent="0.25">
      <c r="A15" s="2" t="s">
        <v>18</v>
      </c>
      <c r="B15" s="7">
        <v>4000</v>
      </c>
      <c r="C15" s="7">
        <v>5500</v>
      </c>
      <c r="D15" s="7">
        <v>3700</v>
      </c>
    </row>
    <row r="16" spans="1:4" x14ac:dyDescent="0.25">
      <c r="A16" s="2" t="s">
        <v>19</v>
      </c>
      <c r="B16" s="2" t="s">
        <v>22</v>
      </c>
      <c r="C16" s="2" t="s">
        <v>23</v>
      </c>
      <c r="D16" s="2" t="s">
        <v>24</v>
      </c>
    </row>
    <row r="17" spans="1:9" x14ac:dyDescent="0.25">
      <c r="A17" s="2" t="s">
        <v>20</v>
      </c>
      <c r="B17" s="2">
        <v>2125</v>
      </c>
      <c r="C17" s="2">
        <v>8500</v>
      </c>
      <c r="D17" s="2">
        <v>8500</v>
      </c>
    </row>
    <row r="18" spans="1:9" x14ac:dyDescent="0.25">
      <c r="A18" s="8" t="s">
        <v>21</v>
      </c>
      <c r="B18" s="9">
        <f>(B14+B15)/B17</f>
        <v>7</v>
      </c>
      <c r="C18" s="9">
        <f t="shared" ref="C18:D18" si="0">(C14+C15)/C17</f>
        <v>0.8</v>
      </c>
      <c r="D18" s="9">
        <f t="shared" si="0"/>
        <v>1</v>
      </c>
    </row>
    <row r="20" spans="1:9" x14ac:dyDescent="0.25">
      <c r="A20" s="38" t="s">
        <v>49</v>
      </c>
    </row>
    <row r="21" spans="1:9" x14ac:dyDescent="0.25">
      <c r="A21" s="30" t="s">
        <v>41</v>
      </c>
      <c r="B21" s="30">
        <v>7820</v>
      </c>
      <c r="C21" s="30"/>
      <c r="D21" s="30"/>
      <c r="E21" s="30"/>
      <c r="F21" s="30"/>
      <c r="G21" s="30"/>
      <c r="H21" s="30"/>
    </row>
    <row r="22" spans="1:9" x14ac:dyDescent="0.25">
      <c r="A22" s="30"/>
      <c r="B22" s="31" t="s">
        <v>42</v>
      </c>
      <c r="C22" s="31"/>
      <c r="D22" s="31"/>
      <c r="E22" s="31" t="s">
        <v>43</v>
      </c>
      <c r="F22" s="31"/>
      <c r="G22" s="31"/>
      <c r="H22" s="32" t="s">
        <v>26</v>
      </c>
    </row>
    <row r="23" spans="1:9" x14ac:dyDescent="0.25">
      <c r="A23" s="16"/>
      <c r="B23" s="28" t="s">
        <v>7</v>
      </c>
      <c r="C23" s="28" t="s">
        <v>8</v>
      </c>
      <c r="D23" s="28" t="s">
        <v>9</v>
      </c>
      <c r="E23" s="28" t="s">
        <v>7</v>
      </c>
      <c r="F23" s="28" t="s">
        <v>8</v>
      </c>
      <c r="G23" s="28" t="s">
        <v>9</v>
      </c>
      <c r="H23" s="32"/>
    </row>
    <row r="24" spans="1:9" x14ac:dyDescent="0.25">
      <c r="A24" s="16" t="s">
        <v>45</v>
      </c>
      <c r="B24" s="16">
        <f>1960</f>
        <v>1960</v>
      </c>
      <c r="C24" s="17">
        <f>D24/B24</f>
        <v>18</v>
      </c>
      <c r="D24" s="17">
        <v>35280</v>
      </c>
      <c r="E24" s="16">
        <f>7820*0.25</f>
        <v>1955</v>
      </c>
      <c r="F24" s="18">
        <f t="shared" ref="F24:F30" si="1">C3</f>
        <v>20</v>
      </c>
      <c r="G24" s="18">
        <f>E24*F24</f>
        <v>39100</v>
      </c>
      <c r="H24" s="18">
        <f t="shared" ref="H24:H30" si="2">D24-G24</f>
        <v>-3820</v>
      </c>
      <c r="I24" t="s">
        <v>27</v>
      </c>
    </row>
    <row r="25" spans="1:9" x14ac:dyDescent="0.25">
      <c r="A25" s="16" t="str">
        <f t="shared" ref="A25:A30" si="3">A4</f>
        <v>Pot de verre</v>
      </c>
      <c r="B25" s="16">
        <v>7850</v>
      </c>
      <c r="C25" s="17">
        <f t="shared" ref="C25:C30" si="4">D25/B25</f>
        <v>0.27006369426751592</v>
      </c>
      <c r="D25" s="17">
        <v>2120</v>
      </c>
      <c r="E25" s="16">
        <f>B4*$B$21</f>
        <v>7820</v>
      </c>
      <c r="F25" s="18">
        <f t="shared" si="1"/>
        <v>0.25</v>
      </c>
      <c r="G25" s="18">
        <f t="shared" ref="G25:G30" si="5">E25*F25</f>
        <v>1955</v>
      </c>
      <c r="H25" s="18">
        <f t="shared" si="2"/>
        <v>165</v>
      </c>
      <c r="I25" t="s">
        <v>28</v>
      </c>
    </row>
    <row r="26" spans="1:9" x14ac:dyDescent="0.25">
      <c r="A26" s="16" t="str">
        <f t="shared" si="3"/>
        <v>Etiquette</v>
      </c>
      <c r="B26" s="16">
        <v>7900</v>
      </c>
      <c r="C26" s="17">
        <f t="shared" si="4"/>
        <v>4.0506329113924051E-2</v>
      </c>
      <c r="D26" s="17">
        <v>320</v>
      </c>
      <c r="E26" s="16">
        <f>B5*$B$21</f>
        <v>7820</v>
      </c>
      <c r="F26" s="18">
        <f t="shared" si="1"/>
        <v>0.05</v>
      </c>
      <c r="G26" s="18">
        <f t="shared" si="5"/>
        <v>391</v>
      </c>
      <c r="H26" s="18">
        <f t="shared" si="2"/>
        <v>-71</v>
      </c>
      <c r="I26" t="s">
        <v>27</v>
      </c>
    </row>
    <row r="27" spans="1:9" x14ac:dyDescent="0.25">
      <c r="A27" s="16" t="str">
        <f t="shared" si="3"/>
        <v>MOD</v>
      </c>
      <c r="B27" s="16">
        <v>1330</v>
      </c>
      <c r="C27" s="17">
        <f t="shared" si="4"/>
        <v>25</v>
      </c>
      <c r="D27" s="17">
        <v>33250</v>
      </c>
      <c r="E27" s="33">
        <f>10/60*7820</f>
        <v>1303.3333333333333</v>
      </c>
      <c r="F27" s="18">
        <f t="shared" si="1"/>
        <v>24</v>
      </c>
      <c r="G27" s="18">
        <f t="shared" si="5"/>
        <v>31280</v>
      </c>
      <c r="H27" s="18">
        <f t="shared" si="2"/>
        <v>1970</v>
      </c>
      <c r="I27" t="s">
        <v>28</v>
      </c>
    </row>
    <row r="28" spans="1:9" x14ac:dyDescent="0.25">
      <c r="A28" s="13" t="str">
        <f t="shared" si="3"/>
        <v>Atelier préparation</v>
      </c>
      <c r="B28" s="13">
        <v>1960</v>
      </c>
      <c r="C28" s="11">
        <f t="shared" si="4"/>
        <v>6.8</v>
      </c>
      <c r="D28" s="11">
        <v>13328</v>
      </c>
      <c r="E28" s="13">
        <f>0.25*7820</f>
        <v>1955</v>
      </c>
      <c r="F28" s="12">
        <f t="shared" si="1"/>
        <v>7</v>
      </c>
      <c r="G28" s="12">
        <f t="shared" si="5"/>
        <v>13685</v>
      </c>
      <c r="H28" s="14">
        <f t="shared" si="2"/>
        <v>-357</v>
      </c>
      <c r="I28" t="s">
        <v>27</v>
      </c>
    </row>
    <row r="29" spans="1:9" x14ac:dyDescent="0.25">
      <c r="A29" s="16" t="str">
        <f t="shared" si="3"/>
        <v>Atelier stérilisation</v>
      </c>
      <c r="B29" s="16">
        <v>7820</v>
      </c>
      <c r="C29" s="34">
        <f t="shared" si="4"/>
        <v>0.80434782608695654</v>
      </c>
      <c r="D29" s="17">
        <v>6290</v>
      </c>
      <c r="E29" s="16">
        <f>7820</f>
        <v>7820</v>
      </c>
      <c r="F29" s="21">
        <f t="shared" si="1"/>
        <v>0.8</v>
      </c>
      <c r="G29" s="18">
        <f t="shared" si="5"/>
        <v>6256</v>
      </c>
      <c r="H29" s="18">
        <f t="shared" si="2"/>
        <v>34</v>
      </c>
      <c r="I29" t="s">
        <v>28</v>
      </c>
    </row>
    <row r="30" spans="1:9" x14ac:dyDescent="0.25">
      <c r="A30" s="16" t="str">
        <f t="shared" si="3"/>
        <v>Atelier Etiquetage</v>
      </c>
      <c r="B30" s="16">
        <v>7820</v>
      </c>
      <c r="C30" s="17">
        <f t="shared" si="4"/>
        <v>1.0505115089514065</v>
      </c>
      <c r="D30" s="17">
        <v>8215</v>
      </c>
      <c r="E30" s="16">
        <v>7820</v>
      </c>
      <c r="F30" s="18">
        <f t="shared" si="1"/>
        <v>1</v>
      </c>
      <c r="G30" s="18">
        <f t="shared" si="5"/>
        <v>7820</v>
      </c>
      <c r="H30" s="18">
        <f t="shared" si="2"/>
        <v>395</v>
      </c>
      <c r="I30" t="s">
        <v>28</v>
      </c>
    </row>
    <row r="31" spans="1:9" x14ac:dyDescent="0.25">
      <c r="A31" s="35" t="s">
        <v>40</v>
      </c>
      <c r="B31" s="36"/>
      <c r="C31" s="36"/>
      <c r="D31" s="36"/>
      <c r="E31" s="36"/>
      <c r="F31" s="36"/>
      <c r="G31" s="37"/>
      <c r="H31" s="18">
        <f>SUM(H24:H30)</f>
        <v>-1684</v>
      </c>
      <c r="I31" t="s">
        <v>27</v>
      </c>
    </row>
    <row r="32" spans="1:9" x14ac:dyDescent="0.25">
      <c r="A32" s="19"/>
      <c r="B32" s="19"/>
      <c r="C32" s="19"/>
      <c r="D32" s="19"/>
      <c r="E32" s="19"/>
      <c r="F32" s="19"/>
      <c r="G32" s="19"/>
      <c r="H32" s="20"/>
    </row>
    <row r="34" spans="1:6" x14ac:dyDescent="0.25">
      <c r="A34" s="38" t="s">
        <v>50</v>
      </c>
    </row>
    <row r="38" spans="1:6" ht="20.45" customHeight="1" x14ac:dyDescent="0.25"/>
    <row r="39" spans="1:6" x14ac:dyDescent="0.25">
      <c r="B39" s="26" t="s">
        <v>29</v>
      </c>
      <c r="C39" s="26"/>
      <c r="D39" s="27" t="s">
        <v>3</v>
      </c>
      <c r="E39" s="27"/>
    </row>
    <row r="40" spans="1:6" x14ac:dyDescent="0.25">
      <c r="A40" s="2" t="s">
        <v>30</v>
      </c>
      <c r="B40" s="4">
        <f>D24-(8500*0.25*20)</f>
        <v>-7220</v>
      </c>
      <c r="C40" s="2" t="s">
        <v>27</v>
      </c>
      <c r="D40" s="4">
        <f>33250-(8500*4)</f>
        <v>-750</v>
      </c>
      <c r="E40" s="2" t="s">
        <v>27</v>
      </c>
    </row>
    <row r="41" spans="1:6" x14ac:dyDescent="0.25">
      <c r="A41" s="2" t="s">
        <v>31</v>
      </c>
      <c r="B41" s="4">
        <f>(0.25*(7820-8500))*20</f>
        <v>-3400</v>
      </c>
      <c r="C41" s="2" t="s">
        <v>27</v>
      </c>
      <c r="D41" s="4">
        <f>(7820-8500)*4</f>
        <v>-2720</v>
      </c>
      <c r="E41" s="2" t="s">
        <v>27</v>
      </c>
    </row>
    <row r="42" spans="1:6" x14ac:dyDescent="0.25">
      <c r="A42" s="16" t="s">
        <v>32</v>
      </c>
      <c r="B42" s="17">
        <f>H24</f>
        <v>-3820</v>
      </c>
      <c r="C42" s="2" t="s">
        <v>27</v>
      </c>
      <c r="D42" s="4">
        <f>+H27</f>
        <v>1970</v>
      </c>
      <c r="E42" s="2" t="s">
        <v>28</v>
      </c>
      <c r="F42" s="1"/>
    </row>
    <row r="43" spans="1:6" ht="8.4499999999999993" customHeight="1" x14ac:dyDescent="0.25">
      <c r="A43" s="16"/>
      <c r="B43" s="16"/>
      <c r="C43" s="2"/>
      <c r="D43" s="2"/>
      <c r="E43" s="2"/>
    </row>
    <row r="44" spans="1:6" x14ac:dyDescent="0.25">
      <c r="A44" s="16" t="s">
        <v>33</v>
      </c>
      <c r="B44" s="18">
        <f>(B24-E24)*F24</f>
        <v>100</v>
      </c>
      <c r="C44" s="2" t="s">
        <v>28</v>
      </c>
      <c r="D44" s="4">
        <f>-(E27-B27)*24</f>
        <v>640.00000000000182</v>
      </c>
      <c r="E44" s="2" t="s">
        <v>28</v>
      </c>
    </row>
    <row r="45" spans="1:6" x14ac:dyDescent="0.25">
      <c r="A45" s="16" t="s">
        <v>34</v>
      </c>
      <c r="B45" s="17">
        <f>(C24-F24)*B24</f>
        <v>-3920</v>
      </c>
      <c r="C45" s="2" t="s">
        <v>27</v>
      </c>
      <c r="D45" s="5">
        <f>-(24-25)*B27</f>
        <v>1330</v>
      </c>
      <c r="E45" s="2" t="s">
        <v>28</v>
      </c>
    </row>
    <row r="50" spans="1:9" x14ac:dyDescent="0.25">
      <c r="A50" s="38" t="s">
        <v>51</v>
      </c>
    </row>
    <row r="53" spans="1:9" x14ac:dyDescent="0.25">
      <c r="B53" s="24" t="s">
        <v>46</v>
      </c>
      <c r="C53" s="24"/>
      <c r="D53" s="24"/>
      <c r="E53" s="24" t="s">
        <v>47</v>
      </c>
      <c r="F53" s="24"/>
      <c r="G53" s="24"/>
    </row>
    <row r="54" spans="1:9" x14ac:dyDescent="0.25">
      <c r="A54" s="13" t="str">
        <f>A28</f>
        <v>Atelier préparation</v>
      </c>
      <c r="B54" s="13">
        <f t="shared" ref="B54:H54" si="6">B28</f>
        <v>1960</v>
      </c>
      <c r="C54" s="11">
        <f t="shared" si="6"/>
        <v>6.8</v>
      </c>
      <c r="D54" s="11">
        <f t="shared" si="6"/>
        <v>13328</v>
      </c>
      <c r="E54" s="13">
        <f t="shared" si="6"/>
        <v>1955</v>
      </c>
      <c r="F54" s="11">
        <f t="shared" si="6"/>
        <v>7</v>
      </c>
      <c r="G54" s="11">
        <f t="shared" si="6"/>
        <v>13685</v>
      </c>
      <c r="H54" s="22">
        <f t="shared" si="6"/>
        <v>-357</v>
      </c>
      <c r="I54" t="s">
        <v>27</v>
      </c>
    </row>
    <row r="56" spans="1:9" ht="6.6" customHeight="1" x14ac:dyDescent="0.25"/>
    <row r="57" spans="1:9" x14ac:dyDescent="0.25">
      <c r="A57" s="2" t="s">
        <v>44</v>
      </c>
      <c r="B57" s="3" t="s">
        <v>35</v>
      </c>
    </row>
    <row r="58" spans="1:9" x14ac:dyDescent="0.25">
      <c r="A58" s="8" t="s">
        <v>18</v>
      </c>
      <c r="B58" s="9">
        <f>B15</f>
        <v>4000</v>
      </c>
    </row>
    <row r="59" spans="1:9" x14ac:dyDescent="0.25">
      <c r="A59" s="2" t="s">
        <v>17</v>
      </c>
      <c r="B59" s="4">
        <f>1960/2125*10875</f>
        <v>10030.588235294117</v>
      </c>
    </row>
    <row r="60" spans="1:9" x14ac:dyDescent="0.25">
      <c r="A60" s="13" t="s">
        <v>36</v>
      </c>
      <c r="B60" s="12">
        <f>B58+B59</f>
        <v>14030.588235294117</v>
      </c>
    </row>
    <row r="61" spans="1:9" ht="6" customHeight="1" x14ac:dyDescent="0.25"/>
    <row r="62" spans="1:9" x14ac:dyDescent="0.25">
      <c r="A62" s="2" t="s">
        <v>37</v>
      </c>
      <c r="B62" s="5">
        <f>D28-B60</f>
        <v>-702.58823529411711</v>
      </c>
      <c r="C62" s="2" t="s">
        <v>27</v>
      </c>
    </row>
    <row r="63" spans="1:9" x14ac:dyDescent="0.25">
      <c r="A63" s="2" t="s">
        <v>38</v>
      </c>
      <c r="B63" s="4">
        <f>(2125-1960)*(4000/2125)</f>
        <v>310.58823529411762</v>
      </c>
      <c r="C63" s="2" t="s">
        <v>28</v>
      </c>
    </row>
    <row r="64" spans="1:9" x14ac:dyDescent="0.25">
      <c r="A64" s="2" t="s">
        <v>39</v>
      </c>
      <c r="B64" s="5">
        <f>(B28-E28)*F28</f>
        <v>35</v>
      </c>
      <c r="C64" s="2" t="s">
        <v>28</v>
      </c>
    </row>
    <row r="65" spans="2:7" x14ac:dyDescent="0.25">
      <c r="B65" s="10">
        <f>SUM(B62:B64)</f>
        <v>-356.99999999999949</v>
      </c>
      <c r="C65" s="15" t="s">
        <v>27</v>
      </c>
    </row>
    <row r="66" spans="2:7" x14ac:dyDescent="0.25">
      <c r="G66" s="23" t="s">
        <v>48</v>
      </c>
    </row>
  </sheetData>
  <mergeCells count="9">
    <mergeCell ref="B53:D53"/>
    <mergeCell ref="E53:G53"/>
    <mergeCell ref="H22:H23"/>
    <mergeCell ref="A10:C10"/>
    <mergeCell ref="B39:C39"/>
    <mergeCell ref="D39:E39"/>
    <mergeCell ref="A31:G31"/>
    <mergeCell ref="E22:G22"/>
    <mergeCell ref="B22:D2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Corrigé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2019-02-04T11:36:45Z</dcterms:created>
  <dcterms:modified xsi:type="dcterms:W3CDTF">2020-12-14T12:51:11Z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57b68035-8965-44ad-a271-84453aa4b765</vt:lpwstr>
  </property>
</Properties>
</file>