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85c9127a006cce5/Enseignement/IUT BRETIGNY GEA/M4107/2020 2021/Thème 1 - La prévision des ventes et le budget des ventes/"/>
    </mc:Choice>
  </mc:AlternateContent>
  <xr:revisionPtr revIDLastSave="0" documentId="8_{E92E0127-4238-40D4-95B6-407C214D7C0A}" xr6:coauthVersionLast="36" xr6:coauthVersionMax="36" xr10:uidLastSave="{00000000-0000-0000-0000-000000000000}"/>
  <bookViews>
    <workbookView xWindow="600" yWindow="675" windowWidth="18600" windowHeight="7740" activeTab="4" xr2:uid="{00000000-000D-0000-FFFF-FFFF00000000}"/>
  </bookViews>
  <sheets>
    <sheet name="Exercice 1" sheetId="2" r:id="rId1"/>
    <sheet name="Exercice 2  " sheetId="3" r:id="rId2"/>
    <sheet name="Exercice 3" sheetId="8" r:id="rId3"/>
    <sheet name="Exercice 4" sheetId="9" r:id="rId4"/>
    <sheet name="Exercice 5" sheetId="6" r:id="rId5"/>
    <sheet name="Exercice 6" sheetId="5" r:id="rId6"/>
  </sheets>
  <calcPr calcId="191029"/>
</workbook>
</file>

<file path=xl/calcChain.xml><?xml version="1.0" encoding="utf-8"?>
<calcChain xmlns="http://schemas.openxmlformats.org/spreadsheetml/2006/main">
  <c r="K29" i="6" l="1"/>
  <c r="K28" i="6"/>
  <c r="K30" i="6" l="1"/>
  <c r="K32" i="6" s="1"/>
  <c r="J15" i="8"/>
  <c r="J30" i="6" l="1"/>
  <c r="E23" i="5" l="1"/>
  <c r="E27" i="5" s="1"/>
  <c r="B21" i="5"/>
  <c r="D18" i="5"/>
  <c r="B16" i="5"/>
  <c r="B7" i="5"/>
  <c r="C6" i="5"/>
  <c r="C16" i="5" s="1"/>
  <c r="B6" i="5"/>
  <c r="C17" i="5" s="1"/>
  <c r="G5" i="5"/>
  <c r="F5" i="5"/>
  <c r="E5" i="5"/>
  <c r="D4" i="5"/>
  <c r="E4" i="5" s="1"/>
  <c r="C4" i="5"/>
  <c r="B32" i="6"/>
  <c r="B31" i="6"/>
  <c r="B30" i="6"/>
  <c r="H15" i="6"/>
  <c r="H17" i="6" s="1"/>
  <c r="B8" i="6"/>
  <c r="C29" i="9"/>
  <c r="C28" i="9"/>
  <c r="C25" i="9"/>
  <c r="D23" i="9"/>
  <c r="D21" i="9"/>
  <c r="D14" i="9"/>
  <c r="D7" i="9"/>
  <c r="C9" i="9" s="1"/>
  <c r="C16" i="9" s="1"/>
  <c r="C7" i="9"/>
  <c r="D5" i="9"/>
  <c r="C23" i="8"/>
  <c r="E23" i="8" s="1"/>
  <c r="C22" i="8"/>
  <c r="C21" i="8"/>
  <c r="C20" i="8"/>
  <c r="C15" i="8"/>
  <c r="E10" i="8"/>
  <c r="D10" i="8"/>
  <c r="D9" i="8"/>
  <c r="E9" i="8" s="1"/>
  <c r="D8" i="8"/>
  <c r="E8" i="8" s="1"/>
  <c r="D7" i="8"/>
  <c r="E7" i="8" s="1"/>
  <c r="E6" i="8"/>
  <c r="D23" i="8" s="1"/>
  <c r="D6" i="8"/>
  <c r="D5" i="8"/>
  <c r="E5" i="8" s="1"/>
  <c r="D4" i="8"/>
  <c r="E4" i="8" s="1"/>
  <c r="D3" i="8"/>
  <c r="E3" i="8" s="1"/>
  <c r="B11" i="2"/>
  <c r="B23" i="2"/>
  <c r="B22" i="2"/>
  <c r="B21" i="2"/>
  <c r="B20" i="2"/>
  <c r="B19" i="2"/>
  <c r="B18" i="2"/>
  <c r="C9" i="3"/>
  <c r="E7" i="3"/>
  <c r="F4" i="3" s="1"/>
  <c r="B7" i="3"/>
  <c r="C3" i="3" s="1"/>
  <c r="F6" i="3"/>
  <c r="C6" i="3"/>
  <c r="G6" i="3" s="1"/>
  <c r="C14" i="3" s="1"/>
  <c r="F5" i="3"/>
  <c r="C5" i="3"/>
  <c r="G5" i="3" s="1"/>
  <c r="C13" i="3" s="1"/>
  <c r="C4" i="3"/>
  <c r="G4" i="3" s="1"/>
  <c r="C12" i="3" s="1"/>
  <c r="F3" i="3"/>
  <c r="F7" i="3" s="1"/>
  <c r="E21" i="8" l="1"/>
  <c r="C12" i="8"/>
  <c r="D20" i="8"/>
  <c r="C13" i="8"/>
  <c r="D21" i="8"/>
  <c r="C14" i="8"/>
  <c r="D22" i="8"/>
  <c r="E22" i="8" s="1"/>
  <c r="E20" i="8"/>
  <c r="C7" i="3"/>
  <c r="G3" i="3"/>
  <c r="E6" i="5"/>
  <c r="F4" i="5"/>
  <c r="D6" i="5"/>
  <c r="B24" i="5"/>
  <c r="E18" i="5"/>
  <c r="E25" i="5"/>
  <c r="D17" i="5"/>
  <c r="E26" i="5"/>
  <c r="F27" i="5" s="1"/>
  <c r="C7" i="5"/>
  <c r="J6" i="5" l="1"/>
  <c r="F6" i="5"/>
  <c r="G4" i="5"/>
  <c r="G6" i="5" s="1"/>
  <c r="E17" i="5"/>
  <c r="D7" i="5"/>
  <c r="D16" i="5"/>
  <c r="F18" i="5"/>
  <c r="F17" i="5"/>
  <c r="G18" i="5"/>
  <c r="E16" i="5"/>
  <c r="E7" i="5"/>
  <c r="G7" i="3"/>
  <c r="C11" i="3"/>
  <c r="C15" i="3" s="1"/>
  <c r="B26" i="5"/>
  <c r="B14" i="5"/>
  <c r="B19" i="5" s="1"/>
  <c r="B25" i="5"/>
  <c r="C14" i="5" s="1"/>
  <c r="C19" i="5" s="1"/>
  <c r="D19" i="5" l="1"/>
  <c r="G16" i="5"/>
  <c r="G7" i="5"/>
  <c r="H18" i="5" s="1"/>
  <c r="H17" i="5"/>
  <c r="H19" i="5" s="1"/>
  <c r="E19" i="5"/>
  <c r="F16" i="5"/>
  <c r="F19" i="5" s="1"/>
  <c r="F7" i="5"/>
  <c r="G17" i="5"/>
  <c r="J19" i="5" l="1"/>
  <c r="G1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18" authorId="0" shapeId="0" xr:uid="{00000000-0006-0000-0100-000001000000}">
      <text>
        <r>
          <rPr>
            <b/>
            <sz val="14"/>
            <color indexed="81"/>
            <rFont val="Tahoma"/>
            <family val="2"/>
          </rPr>
          <t>(50,857 * 7 )+ 1998,70</t>
        </r>
        <r>
          <rPr>
            <sz val="14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594 + 90 = 684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684 / 4 * 0,8486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D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(3917,40 * 1)+162327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85470/166244 = 0,5141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(0,5141+0,4836)/2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(3917,4*9)+162327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167 583 * 0,4989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2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87€ * 26980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93€ * 25870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2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150*(1-0,039)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M/CV = PV - CV
PV = 144,12€
CV = 50€
MSCV = 94,12€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14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875000 + (2496000)*0,55</t>
        </r>
      </text>
    </comment>
    <comment ref="C14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2496000*0,35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7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Créances encaissées en Juillet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8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Créance encaissée en Aout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3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2246400 /0,90 = 2496000€</t>
        </r>
      </text>
    </comment>
  </commentList>
</comments>
</file>

<file path=xl/sharedStrings.xml><?xml version="1.0" encoding="utf-8"?>
<sst xmlns="http://schemas.openxmlformats.org/spreadsheetml/2006/main" count="109" uniqueCount="73">
  <si>
    <t>TOTAL</t>
  </si>
  <si>
    <t>Trimestre</t>
  </si>
  <si>
    <t>Ventes</t>
  </si>
  <si>
    <t>Coefficients</t>
  </si>
  <si>
    <t>Prévisions ajustées</t>
  </si>
  <si>
    <t>Trimestres</t>
  </si>
  <si>
    <t>Tendance avec ajustement linéaire</t>
  </si>
  <si>
    <t>Indices saisonniers</t>
  </si>
  <si>
    <t>Indices saisonniers moyens</t>
  </si>
  <si>
    <t>Mois</t>
  </si>
  <si>
    <t>Corrélation</t>
  </si>
  <si>
    <t>J</t>
  </si>
  <si>
    <t>F</t>
  </si>
  <si>
    <t>M</t>
  </si>
  <si>
    <t>A</t>
  </si>
  <si>
    <t>Coefficients moyens</t>
  </si>
  <si>
    <t>Ventes prev.</t>
  </si>
  <si>
    <t>Ancien prix</t>
  </si>
  <si>
    <t>Nouveau prix</t>
  </si>
  <si>
    <t>Variation en %</t>
  </si>
  <si>
    <t>Demande initiale</t>
  </si>
  <si>
    <t>Nouvelle demande</t>
  </si>
  <si>
    <t xml:space="preserve">E(P/D)   = </t>
  </si>
  <si>
    <t>Ancien CA</t>
  </si>
  <si>
    <t>Nouveau CA</t>
  </si>
  <si>
    <t xml:space="preserve">E(D/P)   = </t>
  </si>
  <si>
    <t>PV</t>
  </si>
  <si>
    <t>M/CV</t>
  </si>
  <si>
    <t>Qte</t>
  </si>
  <si>
    <t>C. Fixes</t>
  </si>
  <si>
    <t>Résultat</t>
  </si>
  <si>
    <t>Quantité vendue</t>
  </si>
  <si>
    <t>PV unitaire</t>
  </si>
  <si>
    <t>CA HT</t>
  </si>
  <si>
    <t>Créances au 30/06/N</t>
  </si>
  <si>
    <t>Créances au bilan</t>
  </si>
  <si>
    <t xml:space="preserve">Règlements clients : </t>
  </si>
  <si>
    <t>Comptant 10%</t>
  </si>
  <si>
    <t>30 jours 55%</t>
  </si>
  <si>
    <t>60 jours 35%</t>
  </si>
  <si>
    <t>Créances novembre pour janvier</t>
  </si>
  <si>
    <t>Créances décembre</t>
  </si>
  <si>
    <t>CA TTC de décembre N-1</t>
  </si>
  <si>
    <t>Février  - 35%</t>
  </si>
  <si>
    <t>Janvier - 55%</t>
  </si>
  <si>
    <t>Prévisions avec la droite de régression</t>
  </si>
  <si>
    <t>Y = 3917,40X + 162327</t>
  </si>
  <si>
    <t>CA TTC</t>
  </si>
  <si>
    <t>1TRI</t>
  </si>
  <si>
    <t>2TRI</t>
  </si>
  <si>
    <t>3TRI</t>
  </si>
  <si>
    <t>4TRI</t>
  </si>
  <si>
    <t>INDICES MOYENS</t>
  </si>
  <si>
    <t>MSCV Totale</t>
  </si>
  <si>
    <t>10% Décembre</t>
  </si>
  <si>
    <t>55% janvier</t>
  </si>
  <si>
    <t>35% en février</t>
  </si>
  <si>
    <t>-10% au comptant</t>
  </si>
  <si>
    <t>-55% à 30 jours</t>
  </si>
  <si>
    <t>-35% à 60 jours</t>
  </si>
  <si>
    <t xml:space="preserve">Coefficient de correlation </t>
  </si>
  <si>
    <t>CA</t>
  </si>
  <si>
    <t>Q</t>
  </si>
  <si>
    <t>PU</t>
  </si>
  <si>
    <t>CV</t>
  </si>
  <si>
    <t>MSCV</t>
  </si>
  <si>
    <t>C. FIXES</t>
  </si>
  <si>
    <t>RESULTAT</t>
  </si>
  <si>
    <t xml:space="preserve">Vente de 2020 : </t>
  </si>
  <si>
    <t>1er trimestre 2020</t>
  </si>
  <si>
    <t>2e trimestre 2020</t>
  </si>
  <si>
    <t>3e trimestre 2020</t>
  </si>
  <si>
    <t>4e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</si>
</sst>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_-* #,##0\ &quot;€&quot;_-;\-* #,##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" xfId="0" applyFill="1" applyBorder="1"/>
    <xf numFmtId="0" fontId="1" fillId="3" borderId="1" xfId="0" applyFont="1" applyFill="1" applyBorder="1" applyAlignment="1">
      <alignment horizontal="center"/>
    </xf>
    <xf numFmtId="0" fontId="0" fillId="5" borderId="1" xfId="0" applyFill="1" applyBorder="1"/>
    <xf numFmtId="0" fontId="0" fillId="0" borderId="2" xfId="0" applyBorder="1"/>
    <xf numFmtId="1" fontId="1" fillId="2" borderId="1" xfId="0" applyNumberFormat="1" applyFont="1" applyFill="1" applyBorder="1"/>
    <xf numFmtId="164" fontId="0" fillId="4" borderId="0" xfId="0" applyNumberFormat="1" applyFill="1"/>
    <xf numFmtId="164" fontId="1" fillId="3" borderId="1" xfId="0" applyNumberFormat="1" applyFont="1" applyFill="1" applyBorder="1" applyAlignment="1">
      <alignment horizontal="center"/>
    </xf>
    <xf numFmtId="164" fontId="0" fillId="2" borderId="1" xfId="0" applyNumberFormat="1" applyFill="1" applyBorder="1"/>
    <xf numFmtId="44" fontId="0" fillId="0" borderId="1" xfId="1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5" borderId="1" xfId="0" applyFill="1" applyBorder="1" applyAlignment="1">
      <alignment horizontal="center"/>
    </xf>
    <xf numFmtId="10" fontId="0" fillId="5" borderId="1" xfId="2" applyNumberFormat="1" applyFont="1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0" fontId="0" fillId="6" borderId="1" xfId="2" applyNumberFormat="1" applyFont="1" applyFill="1" applyBorder="1"/>
    <xf numFmtId="44" fontId="1" fillId="0" borderId="1" xfId="1" applyFont="1" applyBorder="1"/>
    <xf numFmtId="165" fontId="0" fillId="0" borderId="1" xfId="1" applyNumberFormat="1" applyFont="1" applyBorder="1" applyAlignment="1">
      <alignment horizontal="center"/>
    </xf>
    <xf numFmtId="165" fontId="0" fillId="0" borderId="0" xfId="0" applyNumberFormat="1"/>
    <xf numFmtId="0" fontId="0" fillId="0" borderId="1" xfId="0" applyBorder="1" applyAlignment="1">
      <alignment horizontal="right"/>
    </xf>
    <xf numFmtId="44" fontId="0" fillId="0" borderId="1" xfId="1" applyFont="1" applyBorder="1" applyAlignment="1">
      <alignment horizontal="right"/>
    </xf>
    <xf numFmtId="0" fontId="0" fillId="0" borderId="1" xfId="0" applyBorder="1" applyAlignment="1">
      <alignment wrapText="1"/>
    </xf>
    <xf numFmtId="44" fontId="0" fillId="0" borderId="0" xfId="1" applyFont="1" applyFill="1" applyBorder="1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44" fontId="0" fillId="2" borderId="1" xfId="1" applyFont="1" applyFill="1" applyBorder="1"/>
    <xf numFmtId="0" fontId="0" fillId="0" borderId="1" xfId="0" applyFill="1" applyBorder="1"/>
    <xf numFmtId="165" fontId="0" fillId="2" borderId="1" xfId="0" applyNumberFormat="1" applyFill="1" applyBorder="1"/>
    <xf numFmtId="165" fontId="0" fillId="7" borderId="1" xfId="0" applyNumberFormat="1" applyFill="1" applyBorder="1"/>
    <xf numFmtId="44" fontId="0" fillId="7" borderId="1" xfId="1" applyFont="1" applyFill="1" applyBorder="1" applyAlignment="1">
      <alignment horizontal="right"/>
    </xf>
    <xf numFmtId="44" fontId="0" fillId="0" borderId="0" xfId="0" applyNumberFormat="1"/>
    <xf numFmtId="165" fontId="0" fillId="5" borderId="1" xfId="0" applyNumberFormat="1" applyFill="1" applyBorder="1"/>
    <xf numFmtId="44" fontId="0" fillId="5" borderId="1" xfId="1" applyFont="1" applyFill="1" applyBorder="1" applyAlignment="1">
      <alignment horizontal="right"/>
    </xf>
    <xf numFmtId="44" fontId="1" fillId="0" borderId="1" xfId="1" applyFont="1" applyBorder="1" applyAlignment="1">
      <alignment horizontal="right"/>
    </xf>
    <xf numFmtId="44" fontId="0" fillId="2" borderId="1" xfId="1" applyFont="1" applyFill="1" applyBorder="1" applyAlignment="1">
      <alignment horizontal="right"/>
    </xf>
    <xf numFmtId="165" fontId="0" fillId="8" borderId="1" xfId="0" applyNumberFormat="1" applyFill="1" applyBorder="1"/>
    <xf numFmtId="44" fontId="0" fillId="8" borderId="1" xfId="1" applyFont="1" applyFill="1" applyBorder="1" applyAlignment="1">
      <alignment horizontal="right"/>
    </xf>
    <xf numFmtId="165" fontId="0" fillId="9" borderId="1" xfId="0" applyNumberFormat="1" applyFill="1" applyBorder="1"/>
    <xf numFmtId="44" fontId="0" fillId="9" borderId="1" xfId="1" applyFont="1" applyFill="1" applyBorder="1" applyAlignment="1">
      <alignment horizontal="right"/>
    </xf>
    <xf numFmtId="165" fontId="0" fillId="10" borderId="1" xfId="0" applyNumberFormat="1" applyFill="1" applyBorder="1"/>
    <xf numFmtId="44" fontId="0" fillId="10" borderId="1" xfId="1" applyFont="1" applyFill="1" applyBorder="1" applyAlignment="1">
      <alignment horizontal="right"/>
    </xf>
    <xf numFmtId="0" fontId="6" fillId="0" borderId="0" xfId="0" applyFont="1"/>
    <xf numFmtId="44" fontId="7" fillId="0" borderId="1" xfId="1" applyFont="1" applyBorder="1" applyAlignment="1">
      <alignment horizontal="right"/>
    </xf>
    <xf numFmtId="44" fontId="7" fillId="0" borderId="1" xfId="1" applyFont="1" applyBorder="1"/>
    <xf numFmtId="164" fontId="7" fillId="0" borderId="1" xfId="0" applyNumberFormat="1" applyFont="1" applyBorder="1"/>
    <xf numFmtId="44" fontId="7" fillId="0" borderId="1" xfId="1" applyFont="1" applyFill="1" applyBorder="1"/>
    <xf numFmtId="164" fontId="7" fillId="0" borderId="1" xfId="0" applyNumberFormat="1" applyFont="1" applyFill="1" applyBorder="1"/>
    <xf numFmtId="164" fontId="0" fillId="0" borderId="1" xfId="0" applyNumberFormat="1" applyBorder="1"/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/>
    <xf numFmtId="0" fontId="0" fillId="0" borderId="0" xfId="0" applyFill="1" applyBorder="1" applyAlignment="1">
      <alignment horizontal="center"/>
    </xf>
    <xf numFmtId="44" fontId="0" fillId="0" borderId="1" xfId="0" applyNumberFormat="1" applyBorder="1"/>
    <xf numFmtId="44" fontId="0" fillId="4" borderId="0" xfId="1" applyFont="1" applyFill="1"/>
    <xf numFmtId="0" fontId="0" fillId="0" borderId="0" xfId="0" applyFill="1" applyBorder="1"/>
    <xf numFmtId="165" fontId="0" fillId="0" borderId="0" xfId="0" applyNumberFormat="1" applyFill="1" applyBorder="1"/>
    <xf numFmtId="0" fontId="0" fillId="0" borderId="0" xfId="0" applyAlignment="1">
      <alignment horizontal="justify" vertical="center"/>
    </xf>
    <xf numFmtId="0" fontId="8" fillId="0" borderId="0" xfId="0" applyFont="1"/>
    <xf numFmtId="0" fontId="5" fillId="2" borderId="1" xfId="0" applyFont="1" applyFill="1" applyBorder="1"/>
    <xf numFmtId="0" fontId="0" fillId="0" borderId="1" xfId="0" applyFont="1" applyBorder="1" applyAlignment="1">
      <alignment horizontal="center"/>
    </xf>
    <xf numFmtId="44" fontId="0" fillId="0" borderId="1" xfId="1" applyFont="1" applyFill="1" applyBorder="1"/>
    <xf numFmtId="164" fontId="0" fillId="0" borderId="1" xfId="0" applyNumberFormat="1" applyFont="1" applyFill="1" applyBorder="1"/>
    <xf numFmtId="164" fontId="7" fillId="2" borderId="1" xfId="0" applyNumberFormat="1" applyFont="1" applyFill="1" applyBorder="1"/>
    <xf numFmtId="44" fontId="1" fillId="2" borderId="1" xfId="1" applyFont="1" applyFill="1" applyBorder="1"/>
    <xf numFmtId="44" fontId="0" fillId="11" borderId="1" xfId="1" applyFont="1" applyFill="1" applyBorder="1"/>
    <xf numFmtId="0" fontId="7" fillId="0" borderId="1" xfId="0" applyFont="1" applyBorder="1" applyAlignment="1">
      <alignment horizontal="right"/>
    </xf>
    <xf numFmtId="44" fontId="11" fillId="0" borderId="1" xfId="1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'Exercice 1'!$B$3</c:f>
              <c:strCache>
                <c:ptCount val="1"/>
                <c:pt idx="0">
                  <c:v>Ventes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42662111515406786"/>
                  <c:y val="-0.1701791187752460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'Exercice 1'!$A$4:$A$9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'Exercice 1'!$B$4:$B$9</c:f>
              <c:numCache>
                <c:formatCode>General</c:formatCode>
                <c:ptCount val="6"/>
                <c:pt idx="0">
                  <c:v>2070</c:v>
                </c:pt>
                <c:pt idx="1">
                  <c:v>2080</c:v>
                </c:pt>
                <c:pt idx="2">
                  <c:v>2150</c:v>
                </c:pt>
                <c:pt idx="3">
                  <c:v>2190</c:v>
                </c:pt>
                <c:pt idx="4">
                  <c:v>2260</c:v>
                </c:pt>
                <c:pt idx="5">
                  <c:v>2310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F5-48C6-83A9-CABF135C4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191008"/>
        <c:axId val="200187088"/>
      </c:scatterChart>
      <c:valAx>
        <c:axId val="200191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187088"/>
        <c:crosses val="autoZero"/>
        <c:crossBetween val="midCat"/>
      </c:valAx>
      <c:valAx>
        <c:axId val="20018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191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80314960629921"/>
          <c:y val="0.17171296296296298"/>
          <c:w val="0.84586351706036744"/>
          <c:h val="0.72088764946048411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6658817681849714"/>
                  <c:y val="-0.4181684386909263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'Exercice 3'!$B$3:$B$10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xVal>
          <c:yVal>
            <c:numRef>
              <c:f>'Exercice 3'!$C$3:$C$10</c:f>
              <c:numCache>
                <c:formatCode>_("€"* #,##0.00_);_("€"* \(#,##0.00\);_("€"* "-"??_);_(@_)</c:formatCode>
                <c:ptCount val="8"/>
                <c:pt idx="0">
                  <c:v>85470</c:v>
                </c:pt>
                <c:pt idx="1">
                  <c:v>220478</c:v>
                </c:pt>
                <c:pt idx="2">
                  <c:v>302470</c:v>
                </c:pt>
                <c:pt idx="3">
                  <c:v>105980</c:v>
                </c:pt>
                <c:pt idx="4">
                  <c:v>87980</c:v>
                </c:pt>
                <c:pt idx="5">
                  <c:v>223580</c:v>
                </c:pt>
                <c:pt idx="6">
                  <c:v>305700</c:v>
                </c:pt>
                <c:pt idx="7">
                  <c:v>107987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F90-4CFA-937C-11E94BAB5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189048"/>
        <c:axId val="200189832"/>
      </c:scatterChart>
      <c:valAx>
        <c:axId val="200189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189832"/>
        <c:crosses val="autoZero"/>
        <c:crossBetween val="midCat"/>
      </c:valAx>
      <c:valAx>
        <c:axId val="20018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189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161923</xdr:colOff>
      <xdr:row>4</xdr:row>
      <xdr:rowOff>52388</xdr:rowOff>
    </xdr:from>
    <xdr:to>
      <xdr:col>17</xdr:col>
      <xdr:colOff>83552</xdr:colOff>
      <xdr:row>15</xdr:row>
      <xdr:rowOff>100264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530860</xdr:colOff>
      <xdr:row>4</xdr:row>
      <xdr:rowOff>35560</xdr:rowOff>
    </xdr:from>
    <xdr:to>
      <xdr:col>10</xdr:col>
      <xdr:colOff>480060</xdr:colOff>
      <xdr:row>13</xdr:row>
      <xdr:rowOff>16510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511175</xdr:colOff>
      <xdr:row>8</xdr:row>
      <xdr:rowOff>124460</xdr:rowOff>
    </xdr:from>
    <xdr:to>
      <xdr:col>9</xdr:col>
      <xdr:colOff>339725</xdr:colOff>
      <xdr:row>12</xdr:row>
      <xdr:rowOff>95885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012055" y="1587500"/>
          <a:ext cx="3790950" cy="7029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-0,7143</a:t>
          </a:r>
          <a:r>
            <a:rPr lang="fr-FR" sz="1100" baseline="0"/>
            <a:t> = (x/2,27%)    = -0,016  = -1,60%</a:t>
          </a:r>
        </a:p>
        <a:p>
          <a:endParaRPr lang="fr-FR" sz="1100" baseline="0"/>
        </a:p>
        <a:p>
          <a:r>
            <a:rPr lang="fr-FR" sz="1100" b="1" baseline="0"/>
            <a:t>Nouvelle  demande = 83808 * (1-0,016) =  82447 unités</a:t>
          </a:r>
        </a:p>
        <a:p>
          <a:r>
            <a:rPr lang="fr-FR" sz="1100" baseline="0"/>
            <a:t> </a:t>
          </a:r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10</xdr:row>
      <xdr:rowOff>1</xdr:rowOff>
    </xdr:from>
    <xdr:to>
      <xdr:col>3</xdr:col>
      <xdr:colOff>325120</xdr:colOff>
      <xdr:row>20</xdr:row>
      <xdr:rowOff>167641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" y="1828801"/>
          <a:ext cx="2753359" cy="1996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Nouveau</a:t>
          </a:r>
          <a:r>
            <a:rPr lang="fr-FR" sz="1100" baseline="0"/>
            <a:t> CA : </a:t>
          </a:r>
        </a:p>
        <a:p>
          <a:endParaRPr lang="fr-FR" sz="1100" baseline="0"/>
        </a:p>
        <a:p>
          <a:r>
            <a:rPr lang="fr-FR" sz="1100"/>
            <a:t>(1000+</a:t>
          </a:r>
          <a:r>
            <a:rPr lang="fr-FR" sz="1100" baseline="0"/>
            <a:t> 1000y) * (150 +150x)</a:t>
          </a:r>
        </a:p>
        <a:p>
          <a:endParaRPr lang="fr-FR" sz="1100" baseline="0"/>
        </a:p>
        <a:p>
          <a:r>
            <a:rPr lang="fr-FR" sz="1100" baseline="0"/>
            <a:t>(1000 + (1000*(-1,7x)) * (150+150x)</a:t>
          </a:r>
        </a:p>
        <a:p>
          <a:endParaRPr lang="fr-FR" sz="1100" baseline="0"/>
        </a:p>
        <a:p>
          <a:r>
            <a:rPr lang="fr-FR" sz="1100" baseline="0"/>
            <a:t>(1000 -1700x) * (150+150x)</a:t>
          </a:r>
        </a:p>
        <a:p>
          <a:endParaRPr lang="fr-FR" sz="1100" baseline="0"/>
        </a:p>
        <a:p>
          <a:r>
            <a:rPr lang="fr-FR" sz="1100" baseline="0"/>
            <a:t>150000 - 255000x + 150000x - 255000x²</a:t>
          </a:r>
        </a:p>
        <a:p>
          <a:endParaRPr lang="fr-FR" sz="1100" baseline="0"/>
        </a:p>
        <a:p>
          <a:r>
            <a:rPr lang="fr-FR" sz="1100" baseline="0"/>
            <a:t>150000 - 105000x - 255000x² </a:t>
          </a:r>
        </a:p>
        <a:p>
          <a:endParaRPr lang="fr-FR" sz="1100" baseline="0"/>
        </a:p>
        <a:p>
          <a:endParaRPr lang="fr-FR" sz="1100"/>
        </a:p>
      </xdr:txBody>
    </xdr:sp>
    <xdr:clientData/>
  </xdr:twoCellAnchor>
  <xdr:twoCellAnchor>
    <xdr:from>
      <xdr:col>4</xdr:col>
      <xdr:colOff>6351</xdr:colOff>
      <xdr:row>6</xdr:row>
      <xdr:rowOff>130810</xdr:rowOff>
    </xdr:from>
    <xdr:to>
      <xdr:col>8</xdr:col>
      <xdr:colOff>427990</xdr:colOff>
      <xdr:row>23</xdr:row>
      <xdr:rowOff>31750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3181351" y="1273810"/>
          <a:ext cx="3469639" cy="3139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 baseline="0"/>
        </a:p>
        <a:p>
          <a:r>
            <a:rPr lang="fr-FR" sz="1100" baseline="0"/>
            <a:t>Nouvelle marge sur coût variable :</a:t>
          </a:r>
        </a:p>
        <a:p>
          <a:endParaRPr lang="fr-FR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 (150000 - 105000x - 255000x²)-( 1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000+(1000*-1,7x)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*50)</a:t>
          </a:r>
          <a:endParaRPr lang="fr-FR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=(150000 - 105000x - 255000x² - (50000-85000x)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baseline="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baseline="0">
              <a:effectLst/>
            </a:rPr>
            <a:t>=100000-20000x-255000x²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>
            <a:effectLst/>
          </a:endParaRPr>
        </a:p>
        <a:p>
          <a:r>
            <a:rPr lang="fr-FR" sz="1100" baseline="0"/>
            <a:t>Dérivé de la fonction  :  -20000- 510000x</a:t>
          </a:r>
        </a:p>
        <a:p>
          <a:endParaRPr lang="fr-FR" sz="1100" baseline="0"/>
        </a:p>
        <a:p>
          <a:r>
            <a:rPr lang="fr-FR" sz="1100" baseline="0"/>
            <a:t>-20000 - 510000X  = 0</a:t>
          </a:r>
        </a:p>
        <a:p>
          <a:r>
            <a:rPr lang="fr-FR" sz="1100" baseline="0"/>
            <a:t>-20000 = 510000X</a:t>
          </a:r>
        </a:p>
        <a:p>
          <a:r>
            <a:rPr lang="fr-FR" sz="1100" baseline="0"/>
            <a:t>X = -20000/510000  =&gt;  -0,039</a:t>
          </a:r>
        </a:p>
        <a:p>
          <a:endParaRPr lang="fr-FR" sz="1100"/>
        </a:p>
        <a:p>
          <a:r>
            <a:rPr lang="fr-FR" sz="1100"/>
            <a:t>y = -0,039</a:t>
          </a:r>
          <a:r>
            <a:rPr lang="fr-FR" sz="1100" baseline="0"/>
            <a:t> * (-1,7) = +0,0666</a:t>
          </a:r>
          <a:endParaRPr lang="fr-F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170091</xdr:colOff>
      <xdr:row>20</xdr:row>
      <xdr:rowOff>319768</xdr:rowOff>
    </xdr:from>
    <xdr:to>
      <xdr:col>10</xdr:col>
      <xdr:colOff>449036</xdr:colOff>
      <xdr:row>25</xdr:row>
      <xdr:rowOff>183696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8783412" y="4129768"/>
          <a:ext cx="3252106" cy="10069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Mai</a:t>
          </a:r>
          <a:r>
            <a:rPr lang="fr-FR" sz="1100" baseline="0"/>
            <a:t> : 35% de 1 776 622€  = 621 817,70€ en juillet</a:t>
          </a:r>
        </a:p>
        <a:p>
          <a:r>
            <a:rPr lang="fr-FR" sz="1100" baseline="0"/>
            <a:t>Juin : 55% de 1 776 622  =  977 142,10€ en juillet</a:t>
          </a:r>
        </a:p>
        <a:p>
          <a:r>
            <a:rPr lang="fr-FR" sz="1100" baseline="0"/>
            <a:t>TOTAL encaissé en juillet = 1 598 95,80€</a:t>
          </a:r>
        </a:p>
        <a:p>
          <a:endParaRPr lang="fr-FR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Juin : 35% de 1 776 622€  = 621 817,70€ en aout</a:t>
          </a:r>
          <a:endParaRPr lang="fr-FR">
            <a:effectLst/>
          </a:endParaRP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3:F27"/>
  <sheetViews>
    <sheetView showGridLines="0" topLeftCell="A4" zoomScale="98" zoomScaleNormal="98" workbookViewId="0">
      <selection activeCell="N22" sqref="N22"/>
    </sheetView>
  </sheetViews>
  <sheetFormatPr baseColWidth="10" defaultRowHeight="15" x14ac:dyDescent="0.25"/>
  <cols>
    <col min="1" max="1" width="23.140625" bestFit="1" customWidth="1"/>
    <col min="2" max="2" width="27" customWidth="1"/>
  </cols>
  <sheetData>
    <row r="3" spans="1:2" s="82" customFormat="1" ht="34.5" customHeight="1" x14ac:dyDescent="0.35">
      <c r="A3" s="81" t="s">
        <v>9</v>
      </c>
      <c r="B3" s="81" t="s">
        <v>2</v>
      </c>
    </row>
    <row r="4" spans="1:2" s="82" customFormat="1" ht="34.5" customHeight="1" x14ac:dyDescent="0.35">
      <c r="A4" s="83">
        <v>1</v>
      </c>
      <c r="B4" s="83">
        <v>2070</v>
      </c>
    </row>
    <row r="5" spans="1:2" s="82" customFormat="1" ht="34.5" customHeight="1" x14ac:dyDescent="0.35">
      <c r="A5" s="83">
        <v>2</v>
      </c>
      <c r="B5" s="83">
        <v>2080</v>
      </c>
    </row>
    <row r="6" spans="1:2" s="82" customFormat="1" ht="34.5" customHeight="1" x14ac:dyDescent="0.35">
      <c r="A6" s="83">
        <v>3</v>
      </c>
      <c r="B6" s="83">
        <v>2150</v>
      </c>
    </row>
    <row r="7" spans="1:2" s="82" customFormat="1" ht="34.5" customHeight="1" x14ac:dyDescent="0.35">
      <c r="A7" s="83">
        <v>4</v>
      </c>
      <c r="B7" s="83">
        <v>2190</v>
      </c>
    </row>
    <row r="8" spans="1:2" s="82" customFormat="1" ht="34.5" customHeight="1" x14ac:dyDescent="0.35">
      <c r="A8" s="83">
        <v>5</v>
      </c>
      <c r="B8" s="83">
        <v>2260</v>
      </c>
    </row>
    <row r="9" spans="1:2" s="82" customFormat="1" ht="34.5" customHeight="1" x14ac:dyDescent="0.35">
      <c r="A9" s="83">
        <v>6</v>
      </c>
      <c r="B9" s="83">
        <v>2310</v>
      </c>
    </row>
    <row r="10" spans="1:2" s="82" customFormat="1" ht="34.5" customHeight="1" x14ac:dyDescent="0.35"/>
    <row r="11" spans="1:2" ht="31.5" x14ac:dyDescent="0.5">
      <c r="A11" s="52" t="s">
        <v>10</v>
      </c>
      <c r="B11" s="52">
        <f>CORREL(A4:A9,B4:B9)</f>
        <v>0.98838059335857686</v>
      </c>
    </row>
    <row r="17" spans="1:6" ht="26.25" x14ac:dyDescent="0.4">
      <c r="A17" s="19" t="s">
        <v>9</v>
      </c>
      <c r="B17" s="19" t="s">
        <v>2</v>
      </c>
    </row>
    <row r="18" spans="1:6" ht="26.25" x14ac:dyDescent="0.4">
      <c r="A18" s="68">
        <v>7</v>
      </c>
      <c r="B18" s="68">
        <f t="shared" ref="B18:B23" si="0">A18*50.857+1998.7</f>
        <v>2354.6990000000001</v>
      </c>
    </row>
    <row r="19" spans="1:6" ht="26.25" x14ac:dyDescent="0.4">
      <c r="A19" s="20">
        <v>8</v>
      </c>
      <c r="B19" s="20">
        <f t="shared" si="0"/>
        <v>2405.556</v>
      </c>
    </row>
    <row r="20" spans="1:6" ht="26.25" x14ac:dyDescent="0.4">
      <c r="A20" s="20">
        <v>9</v>
      </c>
      <c r="B20" s="20">
        <f t="shared" si="0"/>
        <v>2456.413</v>
      </c>
    </row>
    <row r="21" spans="1:6" ht="26.25" x14ac:dyDescent="0.4">
      <c r="A21" s="68">
        <v>10</v>
      </c>
      <c r="B21" s="68">
        <f t="shared" si="0"/>
        <v>2507.27</v>
      </c>
    </row>
    <row r="22" spans="1:6" ht="26.25" x14ac:dyDescent="0.4">
      <c r="A22" s="20">
        <v>11</v>
      </c>
      <c r="B22" s="20">
        <f t="shared" si="0"/>
        <v>2558.127</v>
      </c>
    </row>
    <row r="23" spans="1:6" ht="26.25" x14ac:dyDescent="0.4">
      <c r="A23" s="68">
        <v>12</v>
      </c>
      <c r="B23" s="68">
        <f t="shared" si="0"/>
        <v>2608.9839999999999</v>
      </c>
    </row>
    <row r="27" spans="1:6" ht="21" x14ac:dyDescent="0.35">
      <c r="F27" s="67"/>
    </row>
  </sheetData>
  <pageMargins left="0.7" right="0.7" top="0.75" bottom="0.75" header="0.3" footer="0.3"/>
  <pageSetup paperSize="9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G15"/>
  <sheetViews>
    <sheetView showGridLines="0" topLeftCell="A2" zoomScale="180" zoomScaleNormal="180" workbookViewId="0">
      <selection activeCell="B15" sqref="B15"/>
    </sheetView>
  </sheetViews>
  <sheetFormatPr baseColWidth="10" defaultRowHeight="15" x14ac:dyDescent="0.25"/>
  <cols>
    <col min="4" max="4" width="11.7109375" customWidth="1"/>
    <col min="5" max="5" width="11.140625" customWidth="1"/>
    <col min="7" max="7" width="18.140625" bestFit="1" customWidth="1"/>
  </cols>
  <sheetData>
    <row r="1" spans="1:7" x14ac:dyDescent="0.25">
      <c r="A1" s="77">
        <v>2018</v>
      </c>
      <c r="B1" s="77"/>
      <c r="C1" s="77"/>
      <c r="D1" s="77">
        <v>2019</v>
      </c>
      <c r="E1" s="77"/>
      <c r="F1" s="77"/>
    </row>
    <row r="2" spans="1:7" x14ac:dyDescent="0.25">
      <c r="A2" s="6" t="s">
        <v>5</v>
      </c>
      <c r="B2" s="6" t="s">
        <v>2</v>
      </c>
      <c r="C2" s="5" t="s">
        <v>3</v>
      </c>
      <c r="D2" s="8" t="s">
        <v>5</v>
      </c>
      <c r="E2" s="8" t="s">
        <v>2</v>
      </c>
      <c r="F2" s="10" t="s">
        <v>3</v>
      </c>
      <c r="G2" s="11" t="s">
        <v>15</v>
      </c>
    </row>
    <row r="3" spans="1:7" x14ac:dyDescent="0.25">
      <c r="A3" s="6">
        <v>1</v>
      </c>
      <c r="B3" s="6">
        <v>108</v>
      </c>
      <c r="C3" s="17">
        <f>B3/$B$7*4</f>
        <v>0.84872298624754416</v>
      </c>
      <c r="D3" s="9">
        <v>1</v>
      </c>
      <c r="E3" s="8">
        <v>126</v>
      </c>
      <c r="F3" s="15">
        <f>E3/$E$7*4</f>
        <v>0.84848484848484851</v>
      </c>
      <c r="G3" s="16">
        <f>(C3+F3)/2</f>
        <v>0.84860391736619634</v>
      </c>
    </row>
    <row r="4" spans="1:7" x14ac:dyDescent="0.25">
      <c r="A4" s="6">
        <v>2</v>
      </c>
      <c r="B4" s="6">
        <v>150</v>
      </c>
      <c r="C4" s="17">
        <f>B4/$B$7*4</f>
        <v>1.1787819253438114</v>
      </c>
      <c r="D4" s="9">
        <v>2</v>
      </c>
      <c r="E4" s="8">
        <v>175</v>
      </c>
      <c r="F4" s="15">
        <f>E4/$E$7*4</f>
        <v>1.1784511784511784</v>
      </c>
      <c r="G4" s="16">
        <f>(C4+F4)/2</f>
        <v>1.1786165518974949</v>
      </c>
    </row>
    <row r="5" spans="1:7" x14ac:dyDescent="0.25">
      <c r="A5" s="6">
        <v>3</v>
      </c>
      <c r="B5" s="6">
        <v>103</v>
      </c>
      <c r="C5" s="17">
        <f>B5/$B$7*4</f>
        <v>0.80943025540275049</v>
      </c>
      <c r="D5" s="9">
        <v>3</v>
      </c>
      <c r="E5" s="8">
        <v>121</v>
      </c>
      <c r="F5" s="15">
        <f>E5/$E$7*4</f>
        <v>0.81481481481481477</v>
      </c>
      <c r="G5" s="16">
        <f>(C5+F5)/2</f>
        <v>0.81212253510878263</v>
      </c>
    </row>
    <row r="6" spans="1:7" x14ac:dyDescent="0.25">
      <c r="A6" s="6">
        <v>4</v>
      </c>
      <c r="B6" s="6">
        <v>148</v>
      </c>
      <c r="C6" s="17">
        <f>B6/$B$7*4</f>
        <v>1.1630648330058939</v>
      </c>
      <c r="D6" s="9">
        <v>4</v>
      </c>
      <c r="E6" s="8">
        <v>172</v>
      </c>
      <c r="F6" s="15">
        <f>E6/$E$7*4</f>
        <v>1.1582491582491583</v>
      </c>
      <c r="G6" s="16">
        <f>(C6+F6)/2</f>
        <v>1.1606569956275261</v>
      </c>
    </row>
    <row r="7" spans="1:7" x14ac:dyDescent="0.25">
      <c r="A7" s="7" t="s">
        <v>0</v>
      </c>
      <c r="B7" s="7">
        <f>SUM(B3:B6)</f>
        <v>509</v>
      </c>
      <c r="C7" s="7">
        <f>SUM(C3:C6)</f>
        <v>4</v>
      </c>
      <c r="D7" s="7" t="s">
        <v>0</v>
      </c>
      <c r="E7" s="7">
        <f>SUM(E3:E6)</f>
        <v>594</v>
      </c>
      <c r="F7" s="7">
        <f>SUM(F3:F6)</f>
        <v>4</v>
      </c>
      <c r="G7" s="7">
        <f>SUM(G3:G6)</f>
        <v>4</v>
      </c>
    </row>
    <row r="9" spans="1:7" x14ac:dyDescent="0.25">
      <c r="A9" t="s">
        <v>68</v>
      </c>
      <c r="C9">
        <f>594+90</f>
        <v>684</v>
      </c>
    </row>
    <row r="10" spans="1:7" x14ac:dyDescent="0.25">
      <c r="C10" s="1" t="s">
        <v>16</v>
      </c>
    </row>
    <row r="11" spans="1:7" x14ac:dyDescent="0.25">
      <c r="A11" s="1" t="s">
        <v>69</v>
      </c>
      <c r="B11" s="13"/>
      <c r="C11" s="4">
        <f>684*G3/4</f>
        <v>145.11126986961958</v>
      </c>
    </row>
    <row r="12" spans="1:7" x14ac:dyDescent="0.25">
      <c r="A12" s="1" t="s">
        <v>70</v>
      </c>
      <c r="B12" s="13"/>
      <c r="C12" s="4">
        <f>684*G4/4</f>
        <v>201.54343037447163</v>
      </c>
    </row>
    <row r="13" spans="1:7" x14ac:dyDescent="0.25">
      <c r="A13" s="1" t="s">
        <v>71</v>
      </c>
      <c r="B13" s="13"/>
      <c r="C13" s="4">
        <f>684*G5/4</f>
        <v>138.87295350360182</v>
      </c>
    </row>
    <row r="14" spans="1:7" x14ac:dyDescent="0.25">
      <c r="A14" s="1" t="s">
        <v>72</v>
      </c>
      <c r="B14" s="13"/>
      <c r="C14" s="4">
        <f>684*G6/4</f>
        <v>198.47234625230698</v>
      </c>
    </row>
    <row r="15" spans="1:7" x14ac:dyDescent="0.25">
      <c r="C15" s="14">
        <f>SUM(C11:C14)</f>
        <v>684</v>
      </c>
    </row>
  </sheetData>
  <mergeCells count="2">
    <mergeCell ref="A1:C1"/>
    <mergeCell ref="D1:F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J23"/>
  <sheetViews>
    <sheetView showGridLines="0" zoomScale="150" zoomScaleNormal="150" workbookViewId="0">
      <selection activeCell="C22" sqref="C22"/>
    </sheetView>
  </sheetViews>
  <sheetFormatPr baseColWidth="10" defaultRowHeight="15" x14ac:dyDescent="0.25"/>
  <cols>
    <col min="3" max="3" width="17.140625" customWidth="1"/>
    <col min="4" max="4" width="17.7109375" customWidth="1"/>
    <col min="5" max="5" width="16.28515625" bestFit="1" customWidth="1"/>
  </cols>
  <sheetData>
    <row r="1" spans="1:10" x14ac:dyDescent="0.25">
      <c r="D1" t="s">
        <v>46</v>
      </c>
    </row>
    <row r="2" spans="1:10" ht="34.9" customHeight="1" x14ac:dyDescent="0.25">
      <c r="B2" s="35" t="s">
        <v>5</v>
      </c>
      <c r="C2" s="35" t="s">
        <v>2</v>
      </c>
      <c r="D2" s="33" t="s">
        <v>6</v>
      </c>
      <c r="E2" s="33" t="s">
        <v>7</v>
      </c>
    </row>
    <row r="3" spans="1:10" x14ac:dyDescent="0.25">
      <c r="A3" s="78">
        <v>2018</v>
      </c>
      <c r="B3" s="6">
        <v>1</v>
      </c>
      <c r="C3" s="36">
        <v>85470</v>
      </c>
      <c r="D3" s="54">
        <f>3917.4*B3+162327</f>
        <v>166244.4</v>
      </c>
      <c r="E3" s="72">
        <f>C3/D3</f>
        <v>0.51412258097114849</v>
      </c>
    </row>
    <row r="4" spans="1:10" x14ac:dyDescent="0.25">
      <c r="A4" s="78"/>
      <c r="B4" s="6">
        <v>2</v>
      </c>
      <c r="C4" s="36">
        <v>220478</v>
      </c>
      <c r="D4" s="54">
        <f t="shared" ref="D4:D10" si="0">3917.4*B4+162327</f>
        <v>170161.8</v>
      </c>
      <c r="E4" s="55">
        <f t="shared" ref="E4:E10" si="1">C4/D4</f>
        <v>1.2956962138388288</v>
      </c>
    </row>
    <row r="5" spans="1:10" x14ac:dyDescent="0.25">
      <c r="A5" s="78"/>
      <c r="B5" s="6">
        <v>3</v>
      </c>
      <c r="C5" s="36">
        <v>302470</v>
      </c>
      <c r="D5" s="54">
        <f t="shared" si="0"/>
        <v>174079.2</v>
      </c>
      <c r="E5" s="55">
        <f t="shared" si="1"/>
        <v>1.7375424519414151</v>
      </c>
    </row>
    <row r="6" spans="1:10" x14ac:dyDescent="0.25">
      <c r="A6" s="78"/>
      <c r="B6" s="6">
        <v>4</v>
      </c>
      <c r="C6" s="36">
        <v>105980</v>
      </c>
      <c r="D6" s="54">
        <f t="shared" si="0"/>
        <v>177996.6</v>
      </c>
      <c r="E6" s="55">
        <f t="shared" si="1"/>
        <v>0.59540463132441857</v>
      </c>
    </row>
    <row r="7" spans="1:10" x14ac:dyDescent="0.25">
      <c r="A7" s="78">
        <v>2019</v>
      </c>
      <c r="B7" s="6">
        <v>5</v>
      </c>
      <c r="C7" s="36">
        <v>87980</v>
      </c>
      <c r="D7" s="54">
        <f t="shared" si="0"/>
        <v>181914</v>
      </c>
      <c r="E7" s="72">
        <f t="shared" si="1"/>
        <v>0.48363512428949945</v>
      </c>
    </row>
    <row r="8" spans="1:10" x14ac:dyDescent="0.25">
      <c r="A8" s="78"/>
      <c r="B8" s="6">
        <v>6</v>
      </c>
      <c r="C8" s="36">
        <v>223580</v>
      </c>
      <c r="D8" s="54">
        <f t="shared" si="0"/>
        <v>185831.4</v>
      </c>
      <c r="E8" s="55">
        <f t="shared" si="1"/>
        <v>1.2031335931387268</v>
      </c>
    </row>
    <row r="9" spans="1:10" x14ac:dyDescent="0.25">
      <c r="A9" s="78"/>
      <c r="B9" s="6">
        <v>7</v>
      </c>
      <c r="C9" s="36">
        <v>305700</v>
      </c>
      <c r="D9" s="54">
        <f t="shared" si="0"/>
        <v>189748.8</v>
      </c>
      <c r="E9" s="55">
        <f t="shared" si="1"/>
        <v>1.6110773823075561</v>
      </c>
    </row>
    <row r="10" spans="1:10" x14ac:dyDescent="0.25">
      <c r="A10" s="78"/>
      <c r="B10" s="6">
        <v>8</v>
      </c>
      <c r="C10" s="36">
        <v>107987</v>
      </c>
      <c r="D10" s="54">
        <f t="shared" si="0"/>
        <v>193666.2</v>
      </c>
      <c r="E10" s="55">
        <f t="shared" si="1"/>
        <v>0.55759342621479635</v>
      </c>
    </row>
    <row r="11" spans="1:10" ht="27" customHeight="1" x14ac:dyDescent="0.25">
      <c r="B11" s="34"/>
    </row>
    <row r="12" spans="1:10" ht="15" customHeight="1" x14ac:dyDescent="0.25">
      <c r="A12" s="79" t="s">
        <v>52</v>
      </c>
      <c r="B12" s="6" t="s">
        <v>48</v>
      </c>
      <c r="C12" s="17">
        <f>(E3+E7)/2</f>
        <v>0.49887885263032394</v>
      </c>
    </row>
    <row r="13" spans="1:10" ht="15" customHeight="1" x14ac:dyDescent="0.25">
      <c r="A13" s="79"/>
      <c r="B13" s="6" t="s">
        <v>49</v>
      </c>
      <c r="C13" s="58">
        <f>(E4+E8)/2</f>
        <v>1.2494149034887778</v>
      </c>
    </row>
    <row r="14" spans="1:10" ht="15" customHeight="1" x14ac:dyDescent="0.25">
      <c r="A14" s="79"/>
      <c r="B14" s="6" t="s">
        <v>50</v>
      </c>
      <c r="C14" s="58">
        <f>(E5+E9)/2</f>
        <v>1.6743099171244857</v>
      </c>
    </row>
    <row r="15" spans="1:10" ht="15" customHeight="1" x14ac:dyDescent="0.25">
      <c r="A15" s="79"/>
      <c r="B15" s="6" t="s">
        <v>51</v>
      </c>
      <c r="C15" s="58">
        <f>(E6+E10)/2</f>
        <v>0.57649902876960746</v>
      </c>
      <c r="G15" t="s">
        <v>60</v>
      </c>
      <c r="J15" s="34">
        <f>CORREL(B3:B10,C3:C10)</f>
        <v>0.10162667586417064</v>
      </c>
    </row>
    <row r="16" spans="1:10" ht="22.15" customHeight="1" x14ac:dyDescent="0.25">
      <c r="A16" s="59"/>
      <c r="B16" s="61"/>
      <c r="C16" s="60"/>
    </row>
    <row r="17" spans="1:5" ht="27.6" customHeight="1" x14ac:dyDescent="0.25">
      <c r="B17" s="34"/>
    </row>
    <row r="18" spans="1:5" x14ac:dyDescent="0.25">
      <c r="B18" s="34"/>
    </row>
    <row r="19" spans="1:5" ht="45" x14ac:dyDescent="0.25">
      <c r="B19" s="33" t="s">
        <v>1</v>
      </c>
      <c r="C19" s="33" t="s">
        <v>45</v>
      </c>
      <c r="D19" s="33" t="s">
        <v>8</v>
      </c>
      <c r="E19" s="33" t="s">
        <v>4</v>
      </c>
    </row>
    <row r="20" spans="1:5" x14ac:dyDescent="0.25">
      <c r="A20" s="78">
        <v>2020</v>
      </c>
      <c r="B20" s="3">
        <v>9</v>
      </c>
      <c r="C20" s="56">
        <f>3917.4*B20+162327</f>
        <v>197583.6</v>
      </c>
      <c r="D20" s="57">
        <f>(E3+E7)/2</f>
        <v>0.49887885263032394</v>
      </c>
      <c r="E20" s="73">
        <f>C20*D20</f>
        <v>98570.27966656888</v>
      </c>
    </row>
    <row r="21" spans="1:5" x14ac:dyDescent="0.25">
      <c r="A21" s="78"/>
      <c r="B21" s="3">
        <v>10</v>
      </c>
      <c r="C21" s="56">
        <f>3917.4*B21+162327</f>
        <v>201501</v>
      </c>
      <c r="D21" s="57">
        <f>(E4+E8)/2</f>
        <v>1.2494149034887778</v>
      </c>
      <c r="E21" s="73">
        <f>C21*D21</f>
        <v>251758.35246789223</v>
      </c>
    </row>
    <row r="22" spans="1:5" x14ac:dyDescent="0.25">
      <c r="A22" s="78"/>
      <c r="B22" s="69">
        <v>11</v>
      </c>
      <c r="C22" s="70">
        <f>3917.4*B22+162327</f>
        <v>205418.4</v>
      </c>
      <c r="D22" s="71">
        <f>(E5+E9)/2</f>
        <v>1.6743099171244857</v>
      </c>
      <c r="E22" s="73">
        <f>C22*D22</f>
        <v>343934.06427984446</v>
      </c>
    </row>
    <row r="23" spans="1:5" x14ac:dyDescent="0.25">
      <c r="A23" s="78"/>
      <c r="B23" s="69">
        <v>12</v>
      </c>
      <c r="C23" s="70">
        <f>3917.4*B23+162327</f>
        <v>209335.8</v>
      </c>
      <c r="D23" s="71">
        <f>(E6+E10)/2</f>
        <v>0.57649902876960746</v>
      </c>
      <c r="E23" s="73">
        <f>C23*D23</f>
        <v>120681.88538670879</v>
      </c>
    </row>
  </sheetData>
  <mergeCells count="4">
    <mergeCell ref="A3:A6"/>
    <mergeCell ref="A7:A10"/>
    <mergeCell ref="A20:A23"/>
    <mergeCell ref="A12:A15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B4:D29"/>
  <sheetViews>
    <sheetView showGridLines="0" zoomScale="150" zoomScaleNormal="150" workbookViewId="0">
      <selection activeCell="C9" sqref="C9"/>
    </sheetView>
  </sheetViews>
  <sheetFormatPr baseColWidth="10" defaultRowHeight="15" x14ac:dyDescent="0.25"/>
  <cols>
    <col min="2" max="2" width="18.5703125" customWidth="1"/>
    <col min="3" max="3" width="21.5703125" customWidth="1"/>
    <col min="4" max="4" width="13.85546875" bestFit="1" customWidth="1"/>
  </cols>
  <sheetData>
    <row r="4" spans="2:4" x14ac:dyDescent="0.25">
      <c r="B4" s="21" t="s">
        <v>17</v>
      </c>
      <c r="C4" s="21" t="s">
        <v>18</v>
      </c>
      <c r="D4" s="21" t="s">
        <v>19</v>
      </c>
    </row>
    <row r="5" spans="2:4" x14ac:dyDescent="0.25">
      <c r="B5" s="12">
        <v>125</v>
      </c>
      <c r="C5" s="12">
        <v>132</v>
      </c>
      <c r="D5" s="22">
        <f>(C5-B5)/B5</f>
        <v>5.6000000000000001E-2</v>
      </c>
    </row>
    <row r="6" spans="2:4" x14ac:dyDescent="0.25">
      <c r="B6" s="23" t="s">
        <v>20</v>
      </c>
      <c r="C6" s="23" t="s">
        <v>21</v>
      </c>
      <c r="D6" s="24" t="s">
        <v>19</v>
      </c>
    </row>
    <row r="7" spans="2:4" x14ac:dyDescent="0.25">
      <c r="B7" s="23">
        <v>87300</v>
      </c>
      <c r="C7" s="23">
        <f>B7*0.96</f>
        <v>83808</v>
      </c>
      <c r="D7" s="25">
        <f>(C7-B7)/B7</f>
        <v>-0.04</v>
      </c>
    </row>
    <row r="9" spans="2:4" x14ac:dyDescent="0.25">
      <c r="B9" s="2" t="s">
        <v>25</v>
      </c>
      <c r="C9" s="2">
        <f>D7/D5</f>
        <v>-0.7142857142857143</v>
      </c>
    </row>
    <row r="13" spans="2:4" x14ac:dyDescent="0.25">
      <c r="B13" s="21" t="s">
        <v>17</v>
      </c>
      <c r="C13" s="21" t="s">
        <v>18</v>
      </c>
      <c r="D13" s="21" t="s">
        <v>19</v>
      </c>
    </row>
    <row r="14" spans="2:4" x14ac:dyDescent="0.25">
      <c r="B14" s="12">
        <v>132</v>
      </c>
      <c r="C14" s="12">
        <v>135</v>
      </c>
      <c r="D14" s="22">
        <f>(C14-B14)/B14</f>
        <v>2.2727272727272728E-2</v>
      </c>
    </row>
    <row r="16" spans="2:4" x14ac:dyDescent="0.25">
      <c r="B16" s="2" t="s">
        <v>25</v>
      </c>
      <c r="C16" s="2">
        <f>C9</f>
        <v>-0.7142857142857143</v>
      </c>
    </row>
    <row r="20" spans="2:4" x14ac:dyDescent="0.25">
      <c r="B20" s="21" t="s">
        <v>17</v>
      </c>
      <c r="C20" s="21" t="s">
        <v>18</v>
      </c>
      <c r="D20" s="21" t="s">
        <v>19</v>
      </c>
    </row>
    <row r="21" spans="2:4" x14ac:dyDescent="0.25">
      <c r="B21" s="12">
        <v>87</v>
      </c>
      <c r="C21" s="12">
        <v>93</v>
      </c>
      <c r="D21" s="22">
        <f>(C21-B21)/B21</f>
        <v>6.8965517241379309E-2</v>
      </c>
    </row>
    <row r="22" spans="2:4" x14ac:dyDescent="0.25">
      <c r="B22" s="23" t="s">
        <v>20</v>
      </c>
      <c r="C22" s="23" t="s">
        <v>21</v>
      </c>
      <c r="D22" s="24" t="s">
        <v>19</v>
      </c>
    </row>
    <row r="23" spans="2:4" x14ac:dyDescent="0.25">
      <c r="B23" s="23">
        <v>26980</v>
      </c>
      <c r="C23" s="23">
        <v>25870</v>
      </c>
      <c r="D23" s="25">
        <f>(C23-B23)/B23</f>
        <v>-4.1141586360266866E-2</v>
      </c>
    </row>
    <row r="25" spans="2:4" x14ac:dyDescent="0.25">
      <c r="B25" s="2" t="s">
        <v>22</v>
      </c>
      <c r="C25" s="2">
        <f>D23/D21</f>
        <v>-0.59655300222386953</v>
      </c>
    </row>
    <row r="28" spans="2:4" x14ac:dyDescent="0.25">
      <c r="B28" s="2" t="s">
        <v>23</v>
      </c>
      <c r="C28" s="26">
        <f>B23*B21</f>
        <v>2347260</v>
      </c>
    </row>
    <row r="29" spans="2:4" x14ac:dyDescent="0.25">
      <c r="B29" s="2" t="s">
        <v>24</v>
      </c>
      <c r="C29" s="26">
        <f>C23*C21</f>
        <v>2405910</v>
      </c>
    </row>
  </sheetData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pageSetUpPr fitToPage="1"/>
  </sheetPr>
  <dimension ref="A4:K32"/>
  <sheetViews>
    <sheetView showGridLines="0" tabSelected="1" topLeftCell="A12" zoomScale="150" zoomScaleNormal="150" workbookViewId="0">
      <selection activeCell="K21" sqref="K21"/>
    </sheetView>
  </sheetViews>
  <sheetFormatPr baseColWidth="10" defaultRowHeight="15" x14ac:dyDescent="0.25"/>
  <cols>
    <col min="2" max="2" width="12.85546875" bestFit="1" customWidth="1"/>
    <col min="3" max="3" width="11.85546875" bestFit="1" customWidth="1"/>
    <col min="10" max="10" width="11.5703125" bestFit="1" customWidth="1"/>
    <col min="11" max="11" width="13.140625" bestFit="1" customWidth="1"/>
  </cols>
  <sheetData>
    <row r="4" spans="1:8" x14ac:dyDescent="0.25">
      <c r="A4" s="1" t="s">
        <v>26</v>
      </c>
      <c r="B4" s="18">
        <v>150</v>
      </c>
    </row>
    <row r="5" spans="1:8" x14ac:dyDescent="0.25">
      <c r="A5" s="1" t="s">
        <v>27</v>
      </c>
      <c r="B5" s="18">
        <v>100</v>
      </c>
    </row>
    <row r="6" spans="1:8" x14ac:dyDescent="0.25">
      <c r="A6" s="1" t="s">
        <v>28</v>
      </c>
      <c r="B6" s="1">
        <v>1000</v>
      </c>
    </row>
    <row r="7" spans="1:8" x14ac:dyDescent="0.25">
      <c r="A7" s="1" t="s">
        <v>29</v>
      </c>
      <c r="B7" s="18">
        <v>88000</v>
      </c>
    </row>
    <row r="8" spans="1:8" x14ac:dyDescent="0.25">
      <c r="A8" s="1" t="s">
        <v>30</v>
      </c>
      <c r="B8" s="18">
        <f>B5*B6-B7</f>
        <v>12000</v>
      </c>
    </row>
    <row r="15" spans="1:8" x14ac:dyDescent="0.25">
      <c r="H15">
        <f>1700*150</f>
        <v>255000</v>
      </c>
    </row>
    <row r="16" spans="1:8" x14ac:dyDescent="0.25">
      <c r="H16">
        <v>150000</v>
      </c>
    </row>
    <row r="17" spans="1:11" x14ac:dyDescent="0.25">
      <c r="H17">
        <f>H15-H16</f>
        <v>105000</v>
      </c>
    </row>
    <row r="27" spans="1:11" x14ac:dyDescent="0.25">
      <c r="A27" s="1" t="s">
        <v>26</v>
      </c>
      <c r="B27" s="18">
        <v>144.12</v>
      </c>
      <c r="H27" s="1"/>
      <c r="I27" s="3" t="s">
        <v>62</v>
      </c>
      <c r="J27" s="3" t="s">
        <v>63</v>
      </c>
      <c r="K27" s="3" t="s">
        <v>13</v>
      </c>
    </row>
    <row r="28" spans="1:11" x14ac:dyDescent="0.25">
      <c r="A28" s="1" t="s">
        <v>27</v>
      </c>
      <c r="B28" s="18">
        <v>94.12</v>
      </c>
      <c r="H28" s="1" t="s">
        <v>61</v>
      </c>
      <c r="I28" s="1">
        <v>1067</v>
      </c>
      <c r="J28" s="18">
        <v>144.12</v>
      </c>
      <c r="K28" s="18">
        <f>I28*J28</f>
        <v>153776.04</v>
      </c>
    </row>
    <row r="29" spans="1:11" x14ac:dyDescent="0.25">
      <c r="A29" s="1" t="s">
        <v>28</v>
      </c>
      <c r="B29" s="1">
        <v>1067</v>
      </c>
      <c r="H29" s="1" t="s">
        <v>64</v>
      </c>
      <c r="I29" s="1">
        <v>1067</v>
      </c>
      <c r="J29" s="18">
        <v>50</v>
      </c>
      <c r="K29" s="18">
        <f>I29*J29</f>
        <v>53350</v>
      </c>
    </row>
    <row r="30" spans="1:11" x14ac:dyDescent="0.25">
      <c r="A30" s="1" t="s">
        <v>53</v>
      </c>
      <c r="B30" s="62">
        <f>B28*B29</f>
        <v>100426.04000000001</v>
      </c>
      <c r="H30" s="1" t="s">
        <v>65</v>
      </c>
      <c r="I30" s="1">
        <v>1067</v>
      </c>
      <c r="J30" s="18">
        <f>K30/I30</f>
        <v>94.12</v>
      </c>
      <c r="K30" s="18">
        <f>K28-K29</f>
        <v>100426.04000000001</v>
      </c>
    </row>
    <row r="31" spans="1:11" x14ac:dyDescent="0.25">
      <c r="A31" s="1" t="s">
        <v>29</v>
      </c>
      <c r="B31" s="18">
        <f>B7</f>
        <v>88000</v>
      </c>
      <c r="H31" s="1" t="s">
        <v>66</v>
      </c>
      <c r="I31" s="1"/>
      <c r="J31" s="18"/>
      <c r="K31" s="18">
        <v>88000</v>
      </c>
    </row>
    <row r="32" spans="1:11" x14ac:dyDescent="0.25">
      <c r="A32" s="1" t="s">
        <v>30</v>
      </c>
      <c r="B32" s="18">
        <f>B28*B29-B31</f>
        <v>12426.040000000008</v>
      </c>
      <c r="H32" s="1" t="s">
        <v>67</v>
      </c>
      <c r="I32" s="1"/>
      <c r="J32" s="18"/>
      <c r="K32" s="74">
        <f>+K30-K31</f>
        <v>12426.040000000008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>
    <pageSetUpPr fitToPage="1"/>
  </sheetPr>
  <dimension ref="A2:J27"/>
  <sheetViews>
    <sheetView showGridLines="0" zoomScale="140" zoomScaleNormal="140" workbookViewId="0">
      <selection activeCell="L24" sqref="L24"/>
    </sheetView>
  </sheetViews>
  <sheetFormatPr baseColWidth="10" defaultRowHeight="15" x14ac:dyDescent="0.25"/>
  <cols>
    <col min="1" max="1" width="24.42578125" customWidth="1"/>
    <col min="2" max="3" width="15.42578125" bestFit="1" customWidth="1"/>
    <col min="4" max="4" width="25" customWidth="1"/>
    <col min="5" max="5" width="18.140625" customWidth="1"/>
    <col min="6" max="7" width="15.42578125" bestFit="1" customWidth="1"/>
    <col min="8" max="8" width="19.28515625" bestFit="1" customWidth="1"/>
    <col min="10" max="10" width="13.85546875" bestFit="1" customWidth="1"/>
  </cols>
  <sheetData>
    <row r="2" spans="1:10" x14ac:dyDescent="0.25">
      <c r="H2" s="66" t="s">
        <v>57</v>
      </c>
    </row>
    <row r="3" spans="1:10" x14ac:dyDescent="0.25">
      <c r="A3" s="1"/>
      <c r="B3" s="3" t="s">
        <v>11</v>
      </c>
      <c r="C3" s="3" t="s">
        <v>12</v>
      </c>
      <c r="D3" s="3" t="s">
        <v>13</v>
      </c>
      <c r="E3" s="3" t="s">
        <v>14</v>
      </c>
      <c r="F3" s="3" t="s">
        <v>13</v>
      </c>
      <c r="G3" s="3" t="s">
        <v>11</v>
      </c>
      <c r="H3" s="66" t="s">
        <v>58</v>
      </c>
    </row>
    <row r="4" spans="1:10" x14ac:dyDescent="0.25">
      <c r="A4" s="1" t="s">
        <v>31</v>
      </c>
      <c r="B4" s="3">
        <v>3700</v>
      </c>
      <c r="C4" s="3">
        <f>B4*0.9</f>
        <v>3330</v>
      </c>
      <c r="D4" s="3">
        <f>C4*0.9</f>
        <v>2997</v>
      </c>
      <c r="E4" s="3">
        <f>D4</f>
        <v>2997</v>
      </c>
      <c r="F4" s="3">
        <f>E4</f>
        <v>2997</v>
      </c>
      <c r="G4" s="3">
        <f>F4</f>
        <v>2997</v>
      </c>
      <c r="H4" s="66" t="s">
        <v>59</v>
      </c>
    </row>
    <row r="5" spans="1:10" x14ac:dyDescent="0.25">
      <c r="A5" s="1" t="s">
        <v>32</v>
      </c>
      <c r="B5" s="27">
        <v>520</v>
      </c>
      <c r="C5" s="27">
        <v>520</v>
      </c>
      <c r="D5" s="27">
        <v>520</v>
      </c>
      <c r="E5" s="27">
        <f>D5*0.95</f>
        <v>494</v>
      </c>
      <c r="F5" s="27">
        <f>E5</f>
        <v>494</v>
      </c>
      <c r="G5" s="27">
        <f>F5</f>
        <v>494</v>
      </c>
    </row>
    <row r="6" spans="1:10" x14ac:dyDescent="0.25">
      <c r="A6" s="1" t="s">
        <v>33</v>
      </c>
      <c r="B6" s="27">
        <f t="shared" ref="B6:G6" si="0">B4*B5</f>
        <v>1924000</v>
      </c>
      <c r="C6" s="27">
        <f t="shared" si="0"/>
        <v>1731600</v>
      </c>
      <c r="D6" s="27">
        <f t="shared" si="0"/>
        <v>1558440</v>
      </c>
      <c r="E6" s="27">
        <f t="shared" si="0"/>
        <v>1480518</v>
      </c>
      <c r="F6" s="27">
        <f t="shared" si="0"/>
        <v>1480518</v>
      </c>
      <c r="G6" s="27">
        <f t="shared" si="0"/>
        <v>1480518</v>
      </c>
      <c r="J6" s="28">
        <f>SUM(B6:G6)*1.2</f>
        <v>11586712.799999999</v>
      </c>
    </row>
    <row r="7" spans="1:10" x14ac:dyDescent="0.25">
      <c r="A7" s="37" t="s">
        <v>47</v>
      </c>
      <c r="B7" s="39">
        <f t="shared" ref="B7:G7" si="1">B6*1.2</f>
        <v>2308800</v>
      </c>
      <c r="C7" s="38">
        <f t="shared" si="1"/>
        <v>2077920</v>
      </c>
      <c r="D7" s="46">
        <f t="shared" si="1"/>
        <v>1870128</v>
      </c>
      <c r="E7" s="42">
        <f t="shared" si="1"/>
        <v>1776621.5999999999</v>
      </c>
      <c r="F7" s="48">
        <f t="shared" si="1"/>
        <v>1776621.5999999999</v>
      </c>
      <c r="G7" s="50">
        <f t="shared" si="1"/>
        <v>1776621.5999999999</v>
      </c>
    </row>
    <row r="8" spans="1:10" x14ac:dyDescent="0.25">
      <c r="A8" s="64"/>
      <c r="B8" s="65"/>
      <c r="C8" s="65"/>
      <c r="D8" s="65"/>
      <c r="E8" s="65"/>
      <c r="F8" s="65"/>
      <c r="G8" s="65"/>
    </row>
    <row r="9" spans="1:10" x14ac:dyDescent="0.25">
      <c r="A9" s="64"/>
      <c r="B9" s="65"/>
      <c r="C9" s="65"/>
      <c r="D9" s="65"/>
      <c r="E9" s="65"/>
      <c r="F9" s="65"/>
      <c r="G9" s="65"/>
    </row>
    <row r="13" spans="1:10" x14ac:dyDescent="0.25">
      <c r="A13" s="29"/>
      <c r="B13" s="3" t="s">
        <v>11</v>
      </c>
      <c r="C13" s="3" t="s">
        <v>12</v>
      </c>
      <c r="D13" s="3" t="s">
        <v>13</v>
      </c>
      <c r="E13" s="3" t="s">
        <v>14</v>
      </c>
      <c r="F13" s="3" t="s">
        <v>13</v>
      </c>
      <c r="G13" s="3" t="s">
        <v>11</v>
      </c>
      <c r="H13" s="3" t="s">
        <v>34</v>
      </c>
    </row>
    <row r="14" spans="1:10" x14ac:dyDescent="0.25">
      <c r="A14" s="75" t="s">
        <v>35</v>
      </c>
      <c r="B14" s="53">
        <f>875000+B24</f>
        <v>2247800</v>
      </c>
      <c r="C14" s="53">
        <f>B25</f>
        <v>873600</v>
      </c>
      <c r="D14" s="30"/>
      <c r="E14" s="30"/>
      <c r="F14" s="30"/>
      <c r="G14" s="30"/>
      <c r="H14" s="30"/>
    </row>
    <row r="15" spans="1:10" x14ac:dyDescent="0.25">
      <c r="A15" s="29" t="s">
        <v>36</v>
      </c>
      <c r="B15" s="30"/>
      <c r="C15" s="30"/>
      <c r="D15" s="30"/>
      <c r="E15" s="30"/>
      <c r="F15" s="30"/>
      <c r="G15" s="30"/>
      <c r="H15" s="30"/>
    </row>
    <row r="16" spans="1:10" x14ac:dyDescent="0.25">
      <c r="A16" s="29" t="s">
        <v>37</v>
      </c>
      <c r="B16" s="40">
        <f t="shared" ref="B16:G16" si="2">B6*1.2*0.1</f>
        <v>230880</v>
      </c>
      <c r="C16" s="45">
        <f t="shared" si="2"/>
        <v>207792</v>
      </c>
      <c r="D16" s="47">
        <f t="shared" si="2"/>
        <v>187012.80000000002</v>
      </c>
      <c r="E16" s="43">
        <f t="shared" si="2"/>
        <v>177662.16</v>
      </c>
      <c r="F16" s="49">
        <f t="shared" si="2"/>
        <v>177662.16</v>
      </c>
      <c r="G16" s="51">
        <f t="shared" si="2"/>
        <v>177662.16</v>
      </c>
      <c r="H16" s="30"/>
    </row>
    <row r="17" spans="1:10" x14ac:dyDescent="0.25">
      <c r="A17" s="29" t="s">
        <v>38</v>
      </c>
      <c r="B17" s="30"/>
      <c r="C17" s="40">
        <f>B6*0.55*1.2</f>
        <v>1269840</v>
      </c>
      <c r="D17" s="45">
        <f>C6*0.55*1.2</f>
        <v>1142856</v>
      </c>
      <c r="E17" s="47">
        <f>D6*0.55*1.2</f>
        <v>1028570.4000000001</v>
      </c>
      <c r="F17" s="43">
        <f>E6*0.55*1.2</f>
        <v>977141.88</v>
      </c>
      <c r="G17" s="49">
        <f>F6*0.55*1.2</f>
        <v>977141.88</v>
      </c>
      <c r="H17" s="30">
        <f>G6*0.55*1.2+F7*0.35</f>
        <v>1598959.44</v>
      </c>
    </row>
    <row r="18" spans="1:10" x14ac:dyDescent="0.25">
      <c r="A18" s="29" t="s">
        <v>39</v>
      </c>
      <c r="B18" s="30"/>
      <c r="C18" s="30"/>
      <c r="D18" s="40">
        <f>B6*1.2*0.35</f>
        <v>808080</v>
      </c>
      <c r="E18" s="45">
        <f>C6*1.2*0.35</f>
        <v>727272</v>
      </c>
      <c r="F18" s="47">
        <f>D6*1.2*0.35</f>
        <v>654544.79999999993</v>
      </c>
      <c r="G18" s="43">
        <f>E6*1.2*0.35</f>
        <v>621817.55999999994</v>
      </c>
      <c r="H18" s="30">
        <f>G7*0.35</f>
        <v>621817.55999999994</v>
      </c>
    </row>
    <row r="19" spans="1:10" x14ac:dyDescent="0.25">
      <c r="A19" s="29" t="s">
        <v>0</v>
      </c>
      <c r="B19" s="76">
        <f t="shared" ref="B19:G19" si="3">SUM(B14:B18)</f>
        <v>2478680</v>
      </c>
      <c r="C19" s="76">
        <f t="shared" si="3"/>
        <v>2351232</v>
      </c>
      <c r="D19" s="44">
        <f t="shared" si="3"/>
        <v>2137948.7999999998</v>
      </c>
      <c r="E19" s="44">
        <f t="shared" si="3"/>
        <v>1933504.56</v>
      </c>
      <c r="F19" s="44">
        <f t="shared" si="3"/>
        <v>1809348.8399999999</v>
      </c>
      <c r="G19" s="44">
        <f t="shared" si="3"/>
        <v>1776621.6</v>
      </c>
      <c r="H19" s="44">
        <f>H17+H18</f>
        <v>2220777</v>
      </c>
      <c r="J19" s="28">
        <f>SUM(B16:H18)</f>
        <v>11586712.800000003</v>
      </c>
    </row>
    <row r="21" spans="1:10" ht="30" x14ac:dyDescent="0.25">
      <c r="A21" s="31" t="s">
        <v>40</v>
      </c>
      <c r="B21" s="18">
        <f>2500000*0.35</f>
        <v>875000</v>
      </c>
    </row>
    <row r="23" spans="1:10" x14ac:dyDescent="0.25">
      <c r="A23" s="80" t="s">
        <v>41</v>
      </c>
      <c r="B23" s="80"/>
      <c r="D23" s="32" t="s">
        <v>42</v>
      </c>
      <c r="E23" s="63">
        <f>2246400/0.9</f>
        <v>2496000</v>
      </c>
    </row>
    <row r="24" spans="1:10" x14ac:dyDescent="0.25">
      <c r="A24" s="18" t="s">
        <v>44</v>
      </c>
      <c r="B24" s="18">
        <f>+E23*0.55</f>
        <v>1372800</v>
      </c>
    </row>
    <row r="25" spans="1:10" x14ac:dyDescent="0.25">
      <c r="A25" s="18" t="s">
        <v>43</v>
      </c>
      <c r="B25" s="18">
        <f>B24/0.55*0.35</f>
        <v>873600</v>
      </c>
      <c r="D25" s="32" t="s">
        <v>54</v>
      </c>
      <c r="E25" s="41">
        <f>E23*0.1</f>
        <v>249600</v>
      </c>
      <c r="F25" s="41"/>
    </row>
    <row r="26" spans="1:10" x14ac:dyDescent="0.25">
      <c r="A26" s="18" t="s">
        <v>0</v>
      </c>
      <c r="B26" s="18">
        <f>B24+B25</f>
        <v>2246400</v>
      </c>
      <c r="D26" t="s">
        <v>55</v>
      </c>
      <c r="E26" s="41">
        <f>E23*0.55</f>
        <v>1372800</v>
      </c>
    </row>
    <row r="27" spans="1:10" x14ac:dyDescent="0.25">
      <c r="D27" s="32" t="s">
        <v>56</v>
      </c>
      <c r="E27" s="41">
        <f>E23*0.35</f>
        <v>873600</v>
      </c>
      <c r="F27" s="41">
        <f>E26+E27</f>
        <v>2246400</v>
      </c>
      <c r="G27" s="41"/>
    </row>
  </sheetData>
  <mergeCells count="1">
    <mergeCell ref="A23:B23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Exercice 1</vt:lpstr>
      <vt:lpstr>Exercice 2  </vt:lpstr>
      <vt:lpstr>Exercice 3</vt:lpstr>
      <vt:lpstr>Exercice 4</vt:lpstr>
      <vt:lpstr>Exercice 5</vt:lpstr>
      <vt:lpstr>Exercice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NOEL Eric</cp:lastModifiedBy>
  <cp:lastPrinted>2016-06-30T07:59:46Z</cp:lastPrinted>
  <dcterms:created xsi:type="dcterms:W3CDTF">2016-06-01T12:59:35Z</dcterms:created>
  <dcterms:modified xsi:type="dcterms:W3CDTF">2020-12-23T08:26:55Z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3d9ee0b4-de73-40ce-813a-126c5e584b28</vt:lpwstr>
  </property>
</Properties>
</file>