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IUT BRETIGNY GEA/BUT/Cours BUT2/Enseignements Communs/R306 Controle de gestion/"/>
    </mc:Choice>
  </mc:AlternateContent>
  <xr:revisionPtr revIDLastSave="1" documentId="8_{A037EAE5-3076-4822-827C-BB7D0927F088}" xr6:coauthVersionLast="36" xr6:coauthVersionMax="36" xr10:uidLastSave="{855E0C21-270D-4303-97AB-3E9840A4B638}"/>
  <bookViews>
    <workbookView xWindow="0" yWindow="0" windowWidth="28800" windowHeight="11925" xr2:uid="{FEB4CFCC-A8B4-4C56-AE0E-502BD05A2CCB}"/>
  </bookViews>
  <sheets>
    <sheet name="Exercice 1" sheetId="1" r:id="rId1"/>
    <sheet name="Exercice 2" sheetId="2" r:id="rId2"/>
    <sheet name="Exercice 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3" l="1"/>
  <c r="B42" i="3"/>
  <c r="F40" i="3"/>
  <c r="G40" i="3" s="1"/>
  <c r="D40" i="3"/>
  <c r="E39" i="3"/>
  <c r="D31" i="3"/>
  <c r="B27" i="3"/>
  <c r="E27" i="3" s="1"/>
  <c r="F26" i="3"/>
  <c r="D26" i="3"/>
  <c r="F24" i="3"/>
  <c r="E24" i="3"/>
  <c r="B17" i="3"/>
  <c r="B19" i="3" s="1"/>
  <c r="D15" i="3"/>
  <c r="D17" i="3" s="1"/>
  <c r="C17" i="3" s="1"/>
  <c r="B12" i="3"/>
  <c r="C8" i="3"/>
  <c r="F41" i="3" s="1"/>
  <c r="G41" i="3" s="1"/>
  <c r="D7" i="3"/>
  <c r="C6" i="3"/>
  <c r="B6" i="3"/>
  <c r="D6" i="3" s="1"/>
  <c r="C5" i="3"/>
  <c r="F25" i="3" s="1"/>
  <c r="B5" i="3"/>
  <c r="E25" i="3" s="1"/>
  <c r="G25" i="3" s="1"/>
  <c r="D4" i="3"/>
  <c r="C3" i="3"/>
  <c r="F23" i="3" s="1"/>
  <c r="B3" i="3"/>
  <c r="D3" i="3" s="1"/>
  <c r="B32" i="3" l="1"/>
  <c r="B33" i="3" s="1"/>
  <c r="E26" i="3"/>
  <c r="G26" i="3"/>
  <c r="G24" i="3"/>
  <c r="C19" i="3"/>
  <c r="C23" i="3"/>
  <c r="D19" i="3"/>
  <c r="D8" i="3"/>
  <c r="D5" i="3"/>
  <c r="D9" i="3" s="1"/>
  <c r="D11" i="3" s="1"/>
  <c r="D12" i="3" s="1"/>
  <c r="C12" i="3" s="1"/>
  <c r="B23" i="3"/>
  <c r="E23" i="3"/>
  <c r="G23" i="3" s="1"/>
  <c r="G27" i="3" l="1"/>
  <c r="F27" i="3" s="1"/>
  <c r="F39" i="3" s="1"/>
  <c r="G39" i="3" s="1"/>
  <c r="G42" i="3" s="1"/>
  <c r="F42" i="3" s="1"/>
  <c r="D23" i="3"/>
  <c r="D27" i="3" s="1"/>
  <c r="C27" i="3" s="1"/>
  <c r="C32" i="3" s="1"/>
  <c r="D32" i="3" l="1"/>
  <c r="D33" i="3" s="1"/>
  <c r="C33" i="3" s="1"/>
  <c r="C34" i="3" s="1"/>
  <c r="D34" i="3" s="1"/>
  <c r="C39" i="3" l="1"/>
  <c r="D39" i="3" s="1"/>
  <c r="D42" i="3" s="1"/>
  <c r="C42" i="3" s="1"/>
  <c r="G44" i="3" l="1"/>
  <c r="C15" i="1" l="1"/>
  <c r="C14" i="1"/>
  <c r="C13" i="1"/>
  <c r="B31" i="2"/>
  <c r="B32" i="2" s="1"/>
  <c r="C35" i="2" s="1"/>
  <c r="D35" i="2" s="1"/>
  <c r="D25" i="2"/>
  <c r="D24" i="2"/>
  <c r="C23" i="2"/>
  <c r="D23" i="2" s="1"/>
  <c r="B23" i="2"/>
  <c r="D22" i="2"/>
  <c r="C22" i="2"/>
  <c r="B22" i="2"/>
  <c r="C21" i="2"/>
  <c r="B21" i="2"/>
  <c r="D21" i="2" s="1"/>
  <c r="D20" i="2"/>
  <c r="C20" i="2"/>
  <c r="B20" i="2"/>
  <c r="A20" i="2"/>
  <c r="C19" i="2"/>
  <c r="B19" i="2"/>
  <c r="D19" i="2" s="1"/>
  <c r="A19" i="2"/>
  <c r="D18" i="2"/>
  <c r="C18" i="2"/>
  <c r="B18" i="2"/>
  <c r="A18" i="2"/>
  <c r="C17" i="2"/>
  <c r="B17" i="2"/>
  <c r="D17" i="2" s="1"/>
  <c r="A17" i="2"/>
  <c r="D16" i="2"/>
  <c r="C16" i="2"/>
  <c r="B16" i="2"/>
  <c r="A16" i="2"/>
  <c r="C15" i="2"/>
  <c r="B15" i="2"/>
  <c r="D15" i="2" s="1"/>
  <c r="A15" i="2"/>
  <c r="D14" i="2"/>
  <c r="C14" i="2"/>
  <c r="B14" i="2"/>
  <c r="A14" i="2"/>
  <c r="C13" i="2"/>
  <c r="B13" i="2"/>
  <c r="D13" i="2" s="1"/>
  <c r="A13" i="2"/>
  <c r="D12" i="2"/>
  <c r="C12" i="2"/>
  <c r="B12" i="2"/>
  <c r="A12" i="2"/>
  <c r="C11" i="2"/>
  <c r="B11" i="2"/>
  <c r="D11" i="2" s="1"/>
  <c r="A11" i="2"/>
  <c r="D10" i="2"/>
  <c r="C10" i="2"/>
  <c r="B10" i="2"/>
  <c r="A10" i="2"/>
  <c r="C9" i="2"/>
  <c r="B9" i="2"/>
  <c r="D9" i="2" s="1"/>
  <c r="A9" i="2"/>
  <c r="D26" i="2" l="1"/>
  <c r="D36" i="2" l="1"/>
  <c r="D37" i="2" s="1"/>
  <c r="D38" i="2" s="1"/>
  <c r="C26" i="2"/>
  <c r="H35" i="2"/>
  <c r="H34" i="2"/>
  <c r="H36" i="2" l="1"/>
  <c r="H38" i="2" s="1"/>
  <c r="B13" i="1" l="1"/>
  <c r="D11" i="1"/>
  <c r="C10" i="1"/>
  <c r="D10" i="1" s="1"/>
  <c r="D14" i="1"/>
  <c r="D4" i="1"/>
  <c r="B5" i="1"/>
  <c r="D5" i="1" l="1"/>
  <c r="D15" i="1" s="1"/>
  <c r="D13" i="1"/>
  <c r="D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1" authorId="0" shapeId="0" xr:uid="{45921201-940B-4A6D-943E-CC810DCD43D6}">
      <text>
        <r>
          <rPr>
            <b/>
            <sz val="9"/>
            <color indexed="81"/>
            <rFont val="Tahoma"/>
            <family val="2"/>
          </rPr>
          <t>2 * 100 = 200 Manettes
200 + 5 = 205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B6169924-13C8-4B86-B67D-B18D2F94D04F}">
      <text>
        <r>
          <rPr>
            <b/>
            <sz val="9"/>
            <color indexed="81"/>
            <rFont val="Tahoma"/>
            <family val="2"/>
          </rPr>
          <t>100 * 48/60 = 80h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25074E15-1097-4E37-9DB4-1E7C91B9EAAA}">
      <text>
        <r>
          <rPr>
            <b/>
            <sz val="9"/>
            <color indexed="81"/>
            <rFont val="Tahoma"/>
            <family val="2"/>
          </rPr>
          <t>100 * 12/</t>
        </r>
        <r>
          <rPr>
            <sz val="9"/>
            <color indexed="81"/>
            <rFont val="Tahoma"/>
            <family val="2"/>
          </rPr>
          <t>60  = 20 h</t>
        </r>
      </text>
    </comment>
    <comment ref="B23" authorId="0" shapeId="0" xr:uid="{C702D85E-6AAB-42C2-9FC2-17F67576A970}">
      <text>
        <r>
          <rPr>
            <b/>
            <sz val="9"/>
            <color indexed="81"/>
            <rFont val="Tahoma"/>
            <family val="2"/>
          </rPr>
          <t xml:space="preserve">
9/60 * </t>
        </r>
        <r>
          <rPr>
            <b/>
            <sz val="20"/>
            <color indexed="81"/>
            <rFont val="Tahoma"/>
            <family val="2"/>
          </rPr>
          <t>97</t>
        </r>
        <r>
          <rPr>
            <b/>
            <sz val="9"/>
            <color indexed="81"/>
            <rFont val="Tahoma"/>
            <family val="2"/>
          </rPr>
          <t xml:space="preserve"> = 14,55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2A43F06D-B486-45FF-8238-DB54A6324AD9}">
      <text>
        <r>
          <rPr>
            <b/>
            <sz val="9"/>
            <color indexed="81"/>
            <rFont val="Tahoma"/>
            <family val="2"/>
          </rPr>
          <t>(48 + 12) = 60mn
1h * 100 = 100 UO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<sst xmlns="http://schemas.openxmlformats.org/spreadsheetml/2006/main" count="126" uniqueCount="86">
  <si>
    <t>Question 1  - Annexe A</t>
  </si>
  <si>
    <t>PRODUCTION</t>
  </si>
  <si>
    <t>DISTRIBUTION</t>
  </si>
  <si>
    <t>ADMINISTRATION</t>
  </si>
  <si>
    <t>Question 2 - Annexe B</t>
  </si>
  <si>
    <t>Q</t>
  </si>
  <si>
    <t>PU</t>
  </si>
  <si>
    <t>M</t>
  </si>
  <si>
    <t>Charges directes</t>
  </si>
  <si>
    <t>Production</t>
  </si>
  <si>
    <t>Distribution</t>
  </si>
  <si>
    <t>Charges indirectes</t>
  </si>
  <si>
    <t>Adminsitration</t>
  </si>
  <si>
    <t>COUT STANDARD</t>
  </si>
  <si>
    <t>Prix de vente</t>
  </si>
  <si>
    <t>TOTAL</t>
  </si>
  <si>
    <t>Montage</t>
  </si>
  <si>
    <t>Conditionnement</t>
  </si>
  <si>
    <t>Composants</t>
  </si>
  <si>
    <t>Quantités nécessaires pour 1 vélo</t>
  </si>
  <si>
    <t>Assemblage</t>
  </si>
  <si>
    <t>Règlage</t>
  </si>
  <si>
    <t>Emballage / Exépdition</t>
  </si>
  <si>
    <t>Pédalier</t>
  </si>
  <si>
    <t>MOD</t>
  </si>
  <si>
    <t>48 mn</t>
  </si>
  <si>
    <t>12 mn</t>
  </si>
  <si>
    <t>9 mn</t>
  </si>
  <si>
    <t>Dérailleur</t>
  </si>
  <si>
    <t>Manette Frein</t>
  </si>
  <si>
    <t>CUO</t>
  </si>
  <si>
    <t>37,14€</t>
  </si>
  <si>
    <t>22,25€</t>
  </si>
  <si>
    <t>Jante</t>
  </si>
  <si>
    <t>Pneu</t>
  </si>
  <si>
    <t>Question 1</t>
  </si>
  <si>
    <t>Système de freinage</t>
  </si>
  <si>
    <t>100 vélos</t>
  </si>
  <si>
    <t>Guidon - Potence</t>
  </si>
  <si>
    <t>Selle</t>
  </si>
  <si>
    <t>Chaine</t>
  </si>
  <si>
    <t>Petites fournitures</t>
  </si>
  <si>
    <t>Cadres</t>
  </si>
  <si>
    <t>Fourches</t>
  </si>
  <si>
    <t>MOD Assemblage</t>
  </si>
  <si>
    <t>MOD Règlage</t>
  </si>
  <si>
    <t>MOD Conditionnement</t>
  </si>
  <si>
    <t>Atelier Montage</t>
  </si>
  <si>
    <t>Atelier Conditionnement</t>
  </si>
  <si>
    <t>COUT DE REVIENT PREETABLI D'UNE SERIE</t>
  </si>
  <si>
    <t>Question 2</t>
  </si>
  <si>
    <t>Coût</t>
  </si>
  <si>
    <t>Marge (30%)</t>
  </si>
  <si>
    <t>Marge (30% du coût de la série)</t>
  </si>
  <si>
    <t>CA</t>
  </si>
  <si>
    <t>Coût de la série</t>
  </si>
  <si>
    <t>COUT SERIE</t>
  </si>
  <si>
    <t xml:space="preserve">CA </t>
  </si>
  <si>
    <t>MARGE</t>
  </si>
  <si>
    <t>97 velos</t>
  </si>
  <si>
    <t>En % du coût</t>
  </si>
  <si>
    <t>PV</t>
  </si>
  <si>
    <t>Nombre UO</t>
  </si>
  <si>
    <t>Coût de l'UO</t>
  </si>
  <si>
    <t>1 - Fiche standard</t>
  </si>
  <si>
    <t>MP A</t>
  </si>
  <si>
    <t>MP B</t>
  </si>
  <si>
    <t>CI Production</t>
  </si>
  <si>
    <t>Commission</t>
  </si>
  <si>
    <t>CI Administration</t>
  </si>
  <si>
    <t>2 Prix de vente</t>
  </si>
  <si>
    <t>SI</t>
  </si>
  <si>
    <t>ACHAT</t>
  </si>
  <si>
    <t>SF</t>
  </si>
  <si>
    <t>Consommation</t>
  </si>
  <si>
    <t>REEL</t>
  </si>
  <si>
    <t>PREETABLI ADAPTE</t>
  </si>
  <si>
    <t>Coût de production des casques fabriqués</t>
  </si>
  <si>
    <t>Coût de production des casques vendus</t>
  </si>
  <si>
    <t>Vente</t>
  </si>
  <si>
    <t>Coût de revient des casques vendus</t>
  </si>
  <si>
    <t>Principalement les charges indirectes de production</t>
  </si>
  <si>
    <t>3 -  Comparaison coût réel - Coût préétabli adapté à la production réelle</t>
  </si>
  <si>
    <t xml:space="preserve">Production réelle </t>
  </si>
  <si>
    <t>4 - Cout de production vendu (réel et préétabli)</t>
  </si>
  <si>
    <t>5 - Cause de l'acart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</si>
</sst>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3" fillId="0" borderId="1" xfId="0" applyFont="1" applyBorder="1"/>
    <xf numFmtId="44" fontId="0" fillId="0" borderId="1" xfId="1" applyFont="1" applyBorder="1"/>
    <xf numFmtId="44" fontId="3" fillId="0" borderId="1" xfId="1" applyNumberFormat="1" applyFont="1" applyBorder="1"/>
    <xf numFmtId="0" fontId="0" fillId="0" borderId="1" xfId="0" applyBorder="1" applyAlignment="1">
      <alignment horizontal="center"/>
    </xf>
    <xf numFmtId="44" fontId="3" fillId="0" borderId="1" xfId="1" applyFont="1" applyBorder="1"/>
    <xf numFmtId="44" fontId="0" fillId="0" borderId="1" xfId="0" applyNumberFormat="1" applyBorder="1"/>
    <xf numFmtId="44" fontId="0" fillId="0" borderId="0" xfId="1" applyFont="1"/>
    <xf numFmtId="44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2" fontId="0" fillId="0" borderId="2" xfId="1" quotePrefix="1" applyNumberFormat="1" applyFont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2" fontId="0" fillId="0" borderId="1" xfId="1" quotePrefix="1" applyNumberFormat="1" applyFont="1" applyBorder="1" applyAlignment="1">
      <alignment horizontal="center"/>
    </xf>
    <xf numFmtId="2" fontId="0" fillId="0" borderId="0" xfId="1" quotePrefix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44" fontId="0" fillId="2" borderId="1" xfId="0" applyNumberFormat="1" applyFill="1" applyBorder="1"/>
    <xf numFmtId="44" fontId="0" fillId="0" borderId="0" xfId="0" applyNumberFormat="1"/>
    <xf numFmtId="9" fontId="0" fillId="0" borderId="0" xfId="2" applyFont="1"/>
    <xf numFmtId="0" fontId="3" fillId="0" borderId="1" xfId="0" applyFont="1" applyBorder="1" applyAlignment="1">
      <alignment wrapText="1"/>
    </xf>
    <xf numFmtId="44" fontId="3" fillId="3" borderId="1" xfId="0" applyNumberFormat="1" applyFont="1" applyFill="1" applyBorder="1" applyAlignment="1">
      <alignment wrapText="1"/>
    </xf>
    <xf numFmtId="44" fontId="3" fillId="0" borderId="1" xfId="0" applyNumberFormat="1" applyFont="1" applyBorder="1" applyAlignment="1">
      <alignment wrapText="1"/>
    </xf>
    <xf numFmtId="44" fontId="0" fillId="0" borderId="0" xfId="1" applyFont="1" applyBorder="1"/>
    <xf numFmtId="44" fontId="0" fillId="0" borderId="0" xfId="0" applyNumberFormat="1" applyBorder="1"/>
    <xf numFmtId="44" fontId="0" fillId="2" borderId="0" xfId="1" applyFont="1" applyFill="1"/>
    <xf numFmtId="0" fontId="0" fillId="0" borderId="2" xfId="0" applyBorder="1" applyAlignment="1">
      <alignment horizontal="center"/>
    </xf>
    <xf numFmtId="0" fontId="0" fillId="0" borderId="1" xfId="1" applyNumberFormat="1" applyFont="1" applyBorder="1"/>
    <xf numFmtId="10" fontId="0" fillId="0" borderId="1" xfId="2" applyNumberFormat="1" applyFont="1" applyBorder="1"/>
    <xf numFmtId="0" fontId="0" fillId="0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Fill="1" applyBorder="1"/>
    <xf numFmtId="44" fontId="0" fillId="0" borderId="1" xfId="0" applyNumberFormat="1" applyFill="1" applyBorder="1"/>
    <xf numFmtId="0" fontId="4" fillId="0" borderId="1" xfId="0" applyFont="1" applyFill="1" applyBorder="1"/>
    <xf numFmtId="44" fontId="4" fillId="0" borderId="1" xfId="0" applyNumberFormat="1" applyFont="1" applyFill="1" applyBorder="1"/>
    <xf numFmtId="44" fontId="0" fillId="0" borderId="1" xfId="1" applyFont="1" applyFill="1" applyBorder="1"/>
    <xf numFmtId="0" fontId="0" fillId="0" borderId="0" xfId="0" quotePrefix="1"/>
    <xf numFmtId="44" fontId="0" fillId="0" borderId="1" xfId="1" applyNumberFormat="1" applyFont="1" applyBorder="1"/>
    <xf numFmtId="0" fontId="3" fillId="0" borderId="1" xfId="0" applyFont="1" applyBorder="1" applyAlignment="1">
      <alignment horizontal="center"/>
    </xf>
    <xf numFmtId="2" fontId="5" fillId="0" borderId="0" xfId="0" applyNumberFormat="1" applyFont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208360</xdr:colOff>
      <xdr:row>16</xdr:row>
      <xdr:rowOff>23813</xdr:rowOff>
    </xdr:from>
    <xdr:to>
      <xdr:col>8</xdr:col>
      <xdr:colOff>375048</xdr:colOff>
      <xdr:row>19</xdr:row>
      <xdr:rowOff>136922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14978D4-83A5-46D1-8C2F-A0B5ED2A2881}"/>
            </a:ext>
          </a:extLst>
        </xdr:cNvPr>
        <xdr:cNvSpPr txBox="1"/>
      </xdr:nvSpPr>
      <xdr:spPr>
        <a:xfrm>
          <a:off x="7523560" y="3557588"/>
          <a:ext cx="2805113" cy="684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Cout de revient d'un vélo : 876,17€</a:t>
          </a:r>
        </a:p>
        <a:p>
          <a:r>
            <a:rPr lang="fr-FR" sz="1100"/>
            <a:t>Marge</a:t>
          </a:r>
          <a:r>
            <a:rPr lang="fr-FR" sz="1100" baseline="0"/>
            <a:t> 30%  : (876,17€*30%) = 262,85€</a:t>
          </a:r>
        </a:p>
        <a:p>
          <a:r>
            <a:rPr lang="fr-FR" sz="1100" baseline="0"/>
            <a:t>P. VENTE : (876,17+262,85) = 1139,02€</a:t>
          </a:r>
          <a:endParaRPr lang="fr-FR" sz="1100"/>
        </a:p>
      </xdr:txBody>
    </xdr:sp>
    <xdr:clientData/>
  </xdr:twoCellAnchor>
  <xdr:twoCellAnchor>
    <xdr:from>
      <xdr:col>0</xdr:col>
      <xdr:colOff>279400</xdr:colOff>
      <xdr:row>29</xdr:row>
      <xdr:rowOff>38100</xdr:rowOff>
    </xdr:from>
    <xdr:to>
      <xdr:col>4</xdr:col>
      <xdr:colOff>355600</xdr:colOff>
      <xdr:row>38</xdr:row>
      <xdr:rowOff>165100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79AE48BC-B067-42A7-A163-06C78F54BEE5}"/>
            </a:ext>
          </a:extLst>
        </xdr:cNvPr>
        <xdr:cNvCxnSpPr/>
      </xdr:nvCxnSpPr>
      <xdr:spPr>
        <a:xfrm flipV="1">
          <a:off x="279400" y="6238875"/>
          <a:ext cx="4848225" cy="184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44BBF-81DA-4BE7-8D08-19524881EB43}">
  <dimension ref="A1:E16"/>
  <sheetViews>
    <sheetView showGridLines="0" tabSelected="1" workbookViewId="0">
      <selection activeCell="H17" sqref="H17"/>
    </sheetView>
  </sheetViews>
  <sheetFormatPr baseColWidth="10" defaultRowHeight="15" x14ac:dyDescent="0.25"/>
  <cols>
    <col min="1" max="1" width="35.42578125" bestFit="1" customWidth="1"/>
    <col min="2" max="2" width="12.85546875" bestFit="1" customWidth="1"/>
    <col min="3" max="3" width="13.42578125" bestFit="1" customWidth="1"/>
    <col min="4" max="4" width="16.8554687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3"/>
      <c r="B2" s="3" t="s">
        <v>1</v>
      </c>
      <c r="C2" s="3" t="s">
        <v>2</v>
      </c>
      <c r="D2" s="3" t="s">
        <v>3</v>
      </c>
    </row>
    <row r="3" spans="1:5" x14ac:dyDescent="0.25">
      <c r="A3" s="3" t="s">
        <v>11</v>
      </c>
      <c r="B3" s="5">
        <v>3450</v>
      </c>
      <c r="C3" s="5">
        <v>2800</v>
      </c>
      <c r="D3" s="5">
        <v>2632</v>
      </c>
    </row>
    <row r="4" spans="1:5" x14ac:dyDescent="0.25">
      <c r="A4" s="3" t="s">
        <v>62</v>
      </c>
      <c r="B4" s="3">
        <v>460</v>
      </c>
      <c r="C4" s="3">
        <v>8000</v>
      </c>
      <c r="D4" s="6">
        <f>6800*3.2+1200*3.8</f>
        <v>26320</v>
      </c>
    </row>
    <row r="5" spans="1:5" x14ac:dyDescent="0.25">
      <c r="A5" s="3" t="s">
        <v>63</v>
      </c>
      <c r="B5" s="7">
        <f>B3/B4</f>
        <v>7.5</v>
      </c>
      <c r="C5" s="7">
        <v>0.25</v>
      </c>
      <c r="D5" s="8">
        <f>D3/D4</f>
        <v>0.1</v>
      </c>
    </row>
    <row r="7" spans="1:5" x14ac:dyDescent="0.25">
      <c r="A7" s="1" t="s">
        <v>4</v>
      </c>
      <c r="B7" s="1"/>
      <c r="C7" s="1"/>
      <c r="D7" s="1"/>
    </row>
    <row r="8" spans="1:5" x14ac:dyDescent="0.25">
      <c r="A8" s="3"/>
      <c r="B8" s="9" t="s">
        <v>5</v>
      </c>
      <c r="C8" s="9" t="s">
        <v>6</v>
      </c>
      <c r="D8" s="9" t="s">
        <v>7</v>
      </c>
    </row>
    <row r="9" spans="1:5" x14ac:dyDescent="0.25">
      <c r="A9" s="6" t="s">
        <v>8</v>
      </c>
      <c r="B9" s="3"/>
      <c r="C9" s="3"/>
      <c r="D9" s="3"/>
    </row>
    <row r="10" spans="1:5" x14ac:dyDescent="0.25">
      <c r="A10" s="3" t="s">
        <v>9</v>
      </c>
      <c r="B10" s="3">
        <v>1</v>
      </c>
      <c r="C10" s="7">
        <f>2016/1200</f>
        <v>1.68</v>
      </c>
      <c r="D10" s="7">
        <f>B10*C10</f>
        <v>1.68</v>
      </c>
    </row>
    <row r="11" spans="1:5" x14ac:dyDescent="0.25">
      <c r="A11" s="3" t="s">
        <v>10</v>
      </c>
      <c r="B11" s="3">
        <v>3.8</v>
      </c>
      <c r="C11" s="7">
        <v>0.15</v>
      </c>
      <c r="D11" s="7">
        <f t="shared" ref="D11:D15" si="0">B11*C11</f>
        <v>0.56999999999999995</v>
      </c>
    </row>
    <row r="12" spans="1:5" x14ac:dyDescent="0.25">
      <c r="A12" s="6" t="s">
        <v>11</v>
      </c>
      <c r="B12" s="3"/>
      <c r="C12" s="7"/>
      <c r="D12" s="7"/>
    </row>
    <row r="13" spans="1:5" x14ac:dyDescent="0.25">
      <c r="A13" s="3" t="s">
        <v>9</v>
      </c>
      <c r="B13" s="3">
        <f>6/60</f>
        <v>0.1</v>
      </c>
      <c r="C13" s="7">
        <f>+B5</f>
        <v>7.5</v>
      </c>
      <c r="D13" s="7">
        <f t="shared" si="0"/>
        <v>0.75</v>
      </c>
    </row>
    <row r="14" spans="1:5" x14ac:dyDescent="0.25">
      <c r="A14" s="3" t="s">
        <v>10</v>
      </c>
      <c r="B14" s="3">
        <v>1</v>
      </c>
      <c r="C14" s="7">
        <f>+C5</f>
        <v>0.25</v>
      </c>
      <c r="D14" s="7">
        <f t="shared" si="0"/>
        <v>0.25</v>
      </c>
    </row>
    <row r="15" spans="1:5" x14ac:dyDescent="0.25">
      <c r="A15" s="3" t="s">
        <v>12</v>
      </c>
      <c r="B15" s="3">
        <v>3.8</v>
      </c>
      <c r="C15" s="7">
        <f>+D5</f>
        <v>0.1</v>
      </c>
      <c r="D15" s="7">
        <f t="shared" si="0"/>
        <v>0.38</v>
      </c>
    </row>
    <row r="16" spans="1:5" x14ac:dyDescent="0.25">
      <c r="A16" s="6" t="s">
        <v>13</v>
      </c>
      <c r="B16" s="6">
        <v>1</v>
      </c>
      <c r="C16" s="10"/>
      <c r="D16" s="10">
        <f>SUM(D10:D15)</f>
        <v>3.63</v>
      </c>
    </row>
  </sheetData>
  <mergeCells count="2">
    <mergeCell ref="A1:E1"/>
    <mergeCell ref="A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BAD79-A901-4E64-AF34-18C5F7EC9A3B}">
  <dimension ref="A1:L38"/>
  <sheetViews>
    <sheetView showGridLines="0" topLeftCell="A8" workbookViewId="0">
      <selection activeCell="E16" sqref="E16"/>
    </sheetView>
  </sheetViews>
  <sheetFormatPr baseColWidth="10" defaultRowHeight="15" x14ac:dyDescent="0.25"/>
  <cols>
    <col min="1" max="1" width="21.7109375" customWidth="1"/>
    <col min="2" max="2" width="14.7109375" customWidth="1"/>
    <col min="3" max="3" width="19.42578125" customWidth="1"/>
    <col min="4" max="4" width="15.7109375" bestFit="1" customWidth="1"/>
    <col min="5" max="5" width="26.7109375" customWidth="1"/>
    <col min="7" max="7" width="17.42578125" bestFit="1" customWidth="1"/>
    <col min="8" max="8" width="22.140625" customWidth="1"/>
    <col min="9" max="9" width="12.85546875" bestFit="1" customWidth="1"/>
    <col min="12" max="12" width="12.85546875" bestFit="1" customWidth="1"/>
  </cols>
  <sheetData>
    <row r="1" spans="1:9" ht="45" x14ac:dyDescent="0.25">
      <c r="C1" s="13" t="s">
        <v>16</v>
      </c>
      <c r="D1" s="13"/>
      <c r="E1" s="7" t="s">
        <v>17</v>
      </c>
      <c r="G1" s="14" t="s">
        <v>18</v>
      </c>
      <c r="H1" s="14"/>
      <c r="I1" s="15" t="s">
        <v>19</v>
      </c>
    </row>
    <row r="2" spans="1:9" x14ac:dyDescent="0.25">
      <c r="C2" s="7" t="s">
        <v>20</v>
      </c>
      <c r="D2" s="7" t="s">
        <v>21</v>
      </c>
      <c r="E2" s="7" t="s">
        <v>22</v>
      </c>
      <c r="G2" s="3" t="s">
        <v>23</v>
      </c>
      <c r="H2" s="7">
        <v>91.37</v>
      </c>
      <c r="I2" s="9">
        <v>1</v>
      </c>
    </row>
    <row r="3" spans="1:9" x14ac:dyDescent="0.25">
      <c r="A3" s="16" t="s">
        <v>8</v>
      </c>
      <c r="B3" s="9" t="s">
        <v>24</v>
      </c>
      <c r="C3" s="17" t="s">
        <v>25</v>
      </c>
      <c r="D3" s="17" t="s">
        <v>26</v>
      </c>
      <c r="E3" s="17" t="s">
        <v>27</v>
      </c>
      <c r="G3" s="3" t="s">
        <v>28</v>
      </c>
      <c r="H3" s="7">
        <v>38.18</v>
      </c>
      <c r="I3" s="9">
        <v>1</v>
      </c>
    </row>
    <row r="4" spans="1:9" x14ac:dyDescent="0.25">
      <c r="A4" s="16"/>
      <c r="B4" s="9" t="s">
        <v>24</v>
      </c>
      <c r="C4" s="7">
        <v>18.260000000000002</v>
      </c>
      <c r="D4" s="7">
        <v>22.58</v>
      </c>
      <c r="E4" s="7">
        <v>16.32</v>
      </c>
      <c r="G4" s="3" t="s">
        <v>29</v>
      </c>
      <c r="H4" s="7">
        <v>17.329999999999998</v>
      </c>
      <c r="I4" s="9">
        <v>2</v>
      </c>
    </row>
    <row r="5" spans="1:9" x14ac:dyDescent="0.25">
      <c r="A5" s="9" t="s">
        <v>11</v>
      </c>
      <c r="B5" s="9" t="s">
        <v>30</v>
      </c>
      <c r="C5" s="18" t="s">
        <v>31</v>
      </c>
      <c r="D5" s="19"/>
      <c r="E5" s="20" t="s">
        <v>32</v>
      </c>
      <c r="F5" s="21"/>
      <c r="G5" s="3" t="s">
        <v>33</v>
      </c>
      <c r="H5" s="7">
        <v>85.74</v>
      </c>
      <c r="I5" s="9">
        <v>2</v>
      </c>
    </row>
    <row r="6" spans="1:9" x14ac:dyDescent="0.25">
      <c r="D6" s="22"/>
      <c r="E6" s="22"/>
      <c r="F6" s="21"/>
      <c r="G6" s="3" t="s">
        <v>34</v>
      </c>
      <c r="H6" s="7">
        <v>14.82</v>
      </c>
      <c r="I6" s="9">
        <v>2</v>
      </c>
    </row>
    <row r="7" spans="1:9" x14ac:dyDescent="0.25">
      <c r="A7" s="23" t="s">
        <v>35</v>
      </c>
      <c r="E7" s="22"/>
      <c r="F7" s="21"/>
      <c r="G7" s="3" t="s">
        <v>36</v>
      </c>
      <c r="H7" s="7">
        <v>26.489000000000001</v>
      </c>
      <c r="I7" s="9">
        <v>2</v>
      </c>
    </row>
    <row r="8" spans="1:9" ht="23.25" x14ac:dyDescent="0.35">
      <c r="A8" s="24" t="s">
        <v>37</v>
      </c>
      <c r="B8" s="9" t="s">
        <v>5</v>
      </c>
      <c r="C8" s="9" t="s">
        <v>6</v>
      </c>
      <c r="D8" s="9" t="s">
        <v>7</v>
      </c>
      <c r="E8" s="22"/>
      <c r="F8" s="21"/>
      <c r="G8" s="3" t="s">
        <v>38</v>
      </c>
      <c r="H8" s="7">
        <v>31.94</v>
      </c>
      <c r="I8" s="9">
        <v>1</v>
      </c>
    </row>
    <row r="9" spans="1:9" x14ac:dyDescent="0.25">
      <c r="A9" s="40" t="str">
        <f t="shared" ref="A9:A20" si="0">+G2</f>
        <v>Pédalier</v>
      </c>
      <c r="B9" s="40">
        <f>I2*100</f>
        <v>100</v>
      </c>
      <c r="C9" s="41">
        <f t="shared" ref="C9:C20" si="1">H2</f>
        <v>91.37</v>
      </c>
      <c r="D9" s="41">
        <f>B9*C9</f>
        <v>9137</v>
      </c>
      <c r="E9" s="22"/>
      <c r="F9" s="21"/>
      <c r="G9" s="3" t="s">
        <v>39</v>
      </c>
      <c r="H9" s="7">
        <v>52.83</v>
      </c>
      <c r="I9" s="9">
        <v>1</v>
      </c>
    </row>
    <row r="10" spans="1:9" x14ac:dyDescent="0.25">
      <c r="A10" s="40" t="str">
        <f t="shared" si="0"/>
        <v>Dérailleur</v>
      </c>
      <c r="B10" s="40">
        <f>I3*100+2</f>
        <v>102</v>
      </c>
      <c r="C10" s="41">
        <f t="shared" si="1"/>
        <v>38.18</v>
      </c>
      <c r="D10" s="41">
        <f t="shared" ref="D10:D25" si="2">B10*C10</f>
        <v>3894.36</v>
      </c>
      <c r="G10" s="3" t="s">
        <v>40</v>
      </c>
      <c r="H10" s="7">
        <v>11.37</v>
      </c>
      <c r="I10" s="9">
        <v>1</v>
      </c>
    </row>
    <row r="11" spans="1:9" x14ac:dyDescent="0.25">
      <c r="A11" s="40" t="str">
        <f t="shared" si="0"/>
        <v>Manette Frein</v>
      </c>
      <c r="B11" s="40">
        <f>I4*100+5</f>
        <v>205</v>
      </c>
      <c r="C11" s="41">
        <f t="shared" si="1"/>
        <v>17.329999999999998</v>
      </c>
      <c r="D11" s="41">
        <f t="shared" si="2"/>
        <v>3552.6499999999996</v>
      </c>
      <c r="G11" s="3" t="s">
        <v>41</v>
      </c>
      <c r="H11" s="7">
        <v>5.89</v>
      </c>
      <c r="I11" s="9">
        <v>1</v>
      </c>
    </row>
    <row r="12" spans="1:9" x14ac:dyDescent="0.25">
      <c r="A12" s="40" t="str">
        <f t="shared" si="0"/>
        <v>Jante</v>
      </c>
      <c r="B12" s="40">
        <f>I5*100+2</f>
        <v>202</v>
      </c>
      <c r="C12" s="41">
        <f t="shared" si="1"/>
        <v>85.74</v>
      </c>
      <c r="D12" s="41">
        <f t="shared" si="2"/>
        <v>17319.48</v>
      </c>
      <c r="G12" s="3" t="s">
        <v>42</v>
      </c>
      <c r="H12" s="7">
        <v>228.75</v>
      </c>
      <c r="I12" s="9">
        <v>1</v>
      </c>
    </row>
    <row r="13" spans="1:9" x14ac:dyDescent="0.25">
      <c r="A13" s="40" t="str">
        <f t="shared" si="0"/>
        <v>Pneu</v>
      </c>
      <c r="B13" s="40">
        <f>I6*100</f>
        <v>200</v>
      </c>
      <c r="C13" s="41">
        <f t="shared" si="1"/>
        <v>14.82</v>
      </c>
      <c r="D13" s="41">
        <f t="shared" si="2"/>
        <v>2964</v>
      </c>
      <c r="G13" s="3" t="s">
        <v>43</v>
      </c>
      <c r="H13" s="7">
        <v>42.72</v>
      </c>
      <c r="I13" s="9">
        <v>1</v>
      </c>
    </row>
    <row r="14" spans="1:9" x14ac:dyDescent="0.25">
      <c r="A14" s="40" t="str">
        <f t="shared" si="0"/>
        <v>Système de freinage</v>
      </c>
      <c r="B14" s="40">
        <f>I7*100+3</f>
        <v>203</v>
      </c>
      <c r="C14" s="41">
        <f t="shared" si="1"/>
        <v>26.489000000000001</v>
      </c>
      <c r="D14" s="41">
        <f t="shared" si="2"/>
        <v>5377.2669999999998</v>
      </c>
    </row>
    <row r="15" spans="1:9" x14ac:dyDescent="0.25">
      <c r="A15" s="40" t="str">
        <f t="shared" si="0"/>
        <v>Guidon - Potence</v>
      </c>
      <c r="B15" s="40">
        <f t="shared" ref="B15:B20" si="3">I8*100</f>
        <v>100</v>
      </c>
      <c r="C15" s="41">
        <f t="shared" si="1"/>
        <v>31.94</v>
      </c>
      <c r="D15" s="41">
        <f t="shared" si="2"/>
        <v>3194</v>
      </c>
    </row>
    <row r="16" spans="1:9" x14ac:dyDescent="0.25">
      <c r="A16" s="40" t="str">
        <f t="shared" si="0"/>
        <v>Selle</v>
      </c>
      <c r="B16" s="40">
        <f t="shared" si="3"/>
        <v>100</v>
      </c>
      <c r="C16" s="41">
        <f t="shared" si="1"/>
        <v>52.83</v>
      </c>
      <c r="D16" s="41">
        <f t="shared" si="2"/>
        <v>5283</v>
      </c>
    </row>
    <row r="17" spans="1:12" x14ac:dyDescent="0.25">
      <c r="A17" s="40" t="str">
        <f t="shared" si="0"/>
        <v>Chaine</v>
      </c>
      <c r="B17" s="40">
        <f t="shared" si="3"/>
        <v>100</v>
      </c>
      <c r="C17" s="41">
        <f t="shared" si="1"/>
        <v>11.37</v>
      </c>
      <c r="D17" s="41">
        <f t="shared" si="2"/>
        <v>1137</v>
      </c>
    </row>
    <row r="18" spans="1:12" x14ac:dyDescent="0.25">
      <c r="A18" s="40" t="str">
        <f t="shared" si="0"/>
        <v>Petites fournitures</v>
      </c>
      <c r="B18" s="40">
        <f t="shared" si="3"/>
        <v>100</v>
      </c>
      <c r="C18" s="41">
        <f t="shared" si="1"/>
        <v>5.89</v>
      </c>
      <c r="D18" s="41">
        <f t="shared" si="2"/>
        <v>589</v>
      </c>
    </row>
    <row r="19" spans="1:12" x14ac:dyDescent="0.25">
      <c r="A19" s="40" t="str">
        <f t="shared" si="0"/>
        <v>Cadres</v>
      </c>
      <c r="B19" s="40">
        <f t="shared" si="3"/>
        <v>100</v>
      </c>
      <c r="C19" s="41">
        <f t="shared" si="1"/>
        <v>228.75</v>
      </c>
      <c r="D19" s="41">
        <f t="shared" si="2"/>
        <v>22875</v>
      </c>
    </row>
    <row r="20" spans="1:12" x14ac:dyDescent="0.25">
      <c r="A20" s="40" t="str">
        <f t="shared" si="0"/>
        <v>Fourches</v>
      </c>
      <c r="B20" s="40">
        <f t="shared" si="3"/>
        <v>100</v>
      </c>
      <c r="C20" s="41">
        <f t="shared" si="1"/>
        <v>42.72</v>
      </c>
      <c r="D20" s="41">
        <f t="shared" si="2"/>
        <v>4272</v>
      </c>
      <c r="L20" s="12"/>
    </row>
    <row r="21" spans="1:12" x14ac:dyDescent="0.25">
      <c r="A21" s="40" t="s">
        <v>44</v>
      </c>
      <c r="B21" s="40">
        <f>100*48/60</f>
        <v>80</v>
      </c>
      <c r="C21" s="41">
        <f>C4</f>
        <v>18.260000000000002</v>
      </c>
      <c r="D21" s="41">
        <f t="shared" si="2"/>
        <v>1460.8000000000002</v>
      </c>
      <c r="L21" s="12"/>
    </row>
    <row r="22" spans="1:12" x14ac:dyDescent="0.25">
      <c r="A22" s="40" t="s">
        <v>45</v>
      </c>
      <c r="B22" s="40">
        <f>12/60*100</f>
        <v>20</v>
      </c>
      <c r="C22" s="41">
        <f>D4</f>
        <v>22.58</v>
      </c>
      <c r="D22" s="41">
        <f t="shared" si="2"/>
        <v>451.59999999999997</v>
      </c>
      <c r="L22" s="26"/>
    </row>
    <row r="23" spans="1:12" x14ac:dyDescent="0.25">
      <c r="A23" s="42" t="s">
        <v>46</v>
      </c>
      <c r="B23" s="42">
        <f>9/60*97</f>
        <v>14.549999999999999</v>
      </c>
      <c r="C23" s="43">
        <f>E4</f>
        <v>16.32</v>
      </c>
      <c r="D23" s="43">
        <f t="shared" si="2"/>
        <v>237.45599999999999</v>
      </c>
      <c r="I23" s="27"/>
      <c r="L23" s="27"/>
    </row>
    <row r="24" spans="1:12" x14ac:dyDescent="0.25">
      <c r="A24" s="40" t="s">
        <v>47</v>
      </c>
      <c r="B24" s="40">
        <v>100</v>
      </c>
      <c r="C24" s="44">
        <v>37.14</v>
      </c>
      <c r="D24" s="41">
        <f t="shared" si="2"/>
        <v>3714</v>
      </c>
    </row>
    <row r="25" spans="1:12" x14ac:dyDescent="0.25">
      <c r="A25" s="40" t="s">
        <v>48</v>
      </c>
      <c r="B25" s="40">
        <v>97</v>
      </c>
      <c r="C25" s="44">
        <v>22.25</v>
      </c>
      <c r="D25" s="41">
        <f t="shared" si="2"/>
        <v>2158.25</v>
      </c>
      <c r="I25" s="12"/>
    </row>
    <row r="26" spans="1:12" ht="30" x14ac:dyDescent="0.25">
      <c r="A26" s="28" t="s">
        <v>49</v>
      </c>
      <c r="B26" s="28">
        <v>100</v>
      </c>
      <c r="C26" s="29">
        <f>D26/B26</f>
        <v>876.16863000000023</v>
      </c>
      <c r="D26" s="30">
        <f>SUM(D9:D25)</f>
        <v>87616.863000000027</v>
      </c>
      <c r="I26" s="26"/>
    </row>
    <row r="27" spans="1:12" x14ac:dyDescent="0.25">
      <c r="G27" s="22"/>
      <c r="H27" s="31"/>
    </row>
    <row r="28" spans="1:12" x14ac:dyDescent="0.25">
      <c r="A28" s="23" t="s">
        <v>50</v>
      </c>
      <c r="G28" s="22"/>
      <c r="H28" s="32"/>
    </row>
    <row r="30" spans="1:12" x14ac:dyDescent="0.25">
      <c r="A30" t="s">
        <v>51</v>
      </c>
      <c r="B30" s="12">
        <v>876.17</v>
      </c>
    </row>
    <row r="31" spans="1:12" x14ac:dyDescent="0.25">
      <c r="A31" t="s">
        <v>52</v>
      </c>
      <c r="B31" s="12">
        <f>B30*0.3</f>
        <v>262.851</v>
      </c>
    </row>
    <row r="32" spans="1:12" x14ac:dyDescent="0.25">
      <c r="A32" t="s">
        <v>14</v>
      </c>
      <c r="B32" s="33">
        <f>B30+B31</f>
        <v>1139.021</v>
      </c>
    </row>
    <row r="34" spans="1:8" x14ac:dyDescent="0.25">
      <c r="B34" s="9" t="s">
        <v>5</v>
      </c>
      <c r="C34" s="9" t="s">
        <v>6</v>
      </c>
      <c r="D34" s="9" t="s">
        <v>7</v>
      </c>
      <c r="F34" s="37" t="s">
        <v>53</v>
      </c>
      <c r="G34" s="3"/>
      <c r="H34" s="11">
        <f>D26*0.3</f>
        <v>26285.058900000007</v>
      </c>
    </row>
    <row r="35" spans="1:8" x14ac:dyDescent="0.25">
      <c r="A35" s="34" t="s">
        <v>54</v>
      </c>
      <c r="B35" s="35">
        <v>97</v>
      </c>
      <c r="C35" s="11">
        <f>+B32</f>
        <v>1139.021</v>
      </c>
      <c r="D35" s="11">
        <f>+B35*C35</f>
        <v>110485.037</v>
      </c>
      <c r="F35" s="3" t="s">
        <v>55</v>
      </c>
      <c r="G35" s="3"/>
      <c r="H35" s="11">
        <f>D26</f>
        <v>87616.863000000027</v>
      </c>
    </row>
    <row r="36" spans="1:8" x14ac:dyDescent="0.25">
      <c r="A36" s="34" t="s">
        <v>56</v>
      </c>
      <c r="B36" s="11"/>
      <c r="C36" s="3"/>
      <c r="D36" s="11">
        <f>+D26</f>
        <v>87616.863000000027</v>
      </c>
      <c r="F36" s="38" t="s">
        <v>57</v>
      </c>
      <c r="G36" s="39"/>
      <c r="H36" s="11">
        <f>H34+H35</f>
        <v>113901.92190000003</v>
      </c>
    </row>
    <row r="37" spans="1:8" x14ac:dyDescent="0.25">
      <c r="A37" s="34" t="s">
        <v>58</v>
      </c>
      <c r="B37" s="11"/>
      <c r="C37" s="3"/>
      <c r="D37" s="11">
        <f>D35-D36</f>
        <v>22868.17399999997</v>
      </c>
      <c r="F37" s="38" t="s">
        <v>59</v>
      </c>
      <c r="G37" s="39"/>
      <c r="H37" s="3"/>
    </row>
    <row r="38" spans="1:8" x14ac:dyDescent="0.25">
      <c r="A38" s="34" t="s">
        <v>60</v>
      </c>
      <c r="B38" s="36"/>
      <c r="C38" s="3"/>
      <c r="D38" s="36">
        <f>D37/D36</f>
        <v>0.26100197173231326</v>
      </c>
      <c r="F38" s="38" t="s">
        <v>61</v>
      </c>
      <c r="G38" s="39"/>
      <c r="H38" s="25">
        <f>H36/97</f>
        <v>1174.2466175257734</v>
      </c>
    </row>
  </sheetData>
  <mergeCells count="6">
    <mergeCell ref="C1:D1"/>
    <mergeCell ref="G1:H1"/>
    <mergeCell ref="C5:D5"/>
    <mergeCell ref="F36:G36"/>
    <mergeCell ref="F37:G37"/>
    <mergeCell ref="F38:G3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8A53-B629-4521-BE58-13F4CD52B0EC}">
  <dimension ref="A1:H46"/>
  <sheetViews>
    <sheetView showGridLines="0" workbookViewId="0">
      <selection activeCell="H29" sqref="H29"/>
    </sheetView>
  </sheetViews>
  <sheetFormatPr baseColWidth="10" defaultRowHeight="15" x14ac:dyDescent="0.25"/>
  <cols>
    <col min="1" max="1" width="25.42578125" customWidth="1"/>
    <col min="2" max="2" width="14.140625" bestFit="1" customWidth="1"/>
    <col min="3" max="3" width="11.7109375" bestFit="1" customWidth="1"/>
    <col min="4" max="4" width="15.140625" bestFit="1" customWidth="1"/>
    <col min="7" max="7" width="15.140625" bestFit="1" customWidth="1"/>
    <col min="8" max="8" width="12.7109375" bestFit="1" customWidth="1"/>
    <col min="12" max="12" width="14.140625" bestFit="1" customWidth="1"/>
  </cols>
  <sheetData>
    <row r="1" spans="1:6" x14ac:dyDescent="0.25">
      <c r="A1" s="45" t="s">
        <v>64</v>
      </c>
    </row>
    <row r="2" spans="1:6" x14ac:dyDescent="0.25">
      <c r="A2" s="3"/>
      <c r="B2" s="9" t="s">
        <v>5</v>
      </c>
      <c r="C2" s="9" t="s">
        <v>6</v>
      </c>
      <c r="D2" s="9" t="s">
        <v>7</v>
      </c>
    </row>
    <row r="3" spans="1:6" x14ac:dyDescent="0.25">
      <c r="A3" s="3" t="s">
        <v>65</v>
      </c>
      <c r="B3" s="3">
        <f>33000/15000</f>
        <v>2.2000000000000002</v>
      </c>
      <c r="C3" s="46">
        <f>396000/33000</f>
        <v>12</v>
      </c>
      <c r="D3" s="46">
        <f>B3*C3</f>
        <v>26.400000000000002</v>
      </c>
      <c r="E3" s="2"/>
    </row>
    <row r="4" spans="1:6" x14ac:dyDescent="0.25">
      <c r="A4" s="3" t="s">
        <v>66</v>
      </c>
      <c r="B4" s="3">
        <v>0.2</v>
      </c>
      <c r="C4" s="46">
        <v>40</v>
      </c>
      <c r="D4" s="46">
        <f t="shared" ref="D4:D5" si="0">B4*C4</f>
        <v>8</v>
      </c>
      <c r="E4" s="2"/>
    </row>
    <row r="5" spans="1:6" x14ac:dyDescent="0.25">
      <c r="A5" s="3" t="s">
        <v>24</v>
      </c>
      <c r="B5" s="3">
        <f>10500/15000</f>
        <v>0.7</v>
      </c>
      <c r="C5" s="46">
        <f>451500/10500</f>
        <v>43</v>
      </c>
      <c r="D5" s="46">
        <f t="shared" si="0"/>
        <v>30.099999999999998</v>
      </c>
      <c r="E5" s="2"/>
      <c r="F5" s="2"/>
    </row>
    <row r="6" spans="1:6" x14ac:dyDescent="0.25">
      <c r="A6" s="3" t="s">
        <v>67</v>
      </c>
      <c r="B6" s="3">
        <f>1.5</f>
        <v>1.5</v>
      </c>
      <c r="C6" s="46">
        <f>540000/(15000*1.5)</f>
        <v>24</v>
      </c>
      <c r="D6" s="46">
        <f>B6*C6</f>
        <v>36</v>
      </c>
      <c r="E6" s="2"/>
    </row>
    <row r="7" spans="1:6" x14ac:dyDescent="0.25">
      <c r="A7" s="3" t="s">
        <v>68</v>
      </c>
      <c r="B7" s="3">
        <v>1</v>
      </c>
      <c r="C7" s="46">
        <v>7</v>
      </c>
      <c r="D7" s="46">
        <f>B7*C7</f>
        <v>7</v>
      </c>
      <c r="E7" s="2"/>
    </row>
    <row r="8" spans="1:6" x14ac:dyDescent="0.25">
      <c r="A8" s="3" t="s">
        <v>69</v>
      </c>
      <c r="B8" s="3">
        <v>1</v>
      </c>
      <c r="C8" s="46">
        <f>225000/15000</f>
        <v>15</v>
      </c>
      <c r="D8" s="46">
        <f>B8*C8</f>
        <v>15</v>
      </c>
      <c r="E8" s="2"/>
    </row>
    <row r="9" spans="1:6" x14ac:dyDescent="0.25">
      <c r="A9" s="47" t="s">
        <v>15</v>
      </c>
      <c r="B9" s="6">
        <v>1</v>
      </c>
      <c r="C9" s="6"/>
      <c r="D9" s="10">
        <f>SUM(D3:D8)</f>
        <v>122.5</v>
      </c>
    </row>
    <row r="11" spans="1:6" x14ac:dyDescent="0.25">
      <c r="A11" s="45" t="s">
        <v>70</v>
      </c>
      <c r="B11">
        <v>15000</v>
      </c>
      <c r="D11" s="26">
        <f>D9*B11</f>
        <v>1837500</v>
      </c>
    </row>
    <row r="12" spans="1:6" x14ac:dyDescent="0.25">
      <c r="B12">
        <f>B11</f>
        <v>15000</v>
      </c>
      <c r="C12" s="48">
        <f>D12/B12</f>
        <v>124.5</v>
      </c>
      <c r="D12" s="26">
        <f>D11+30000</f>
        <v>1867500</v>
      </c>
      <c r="F12" s="2"/>
    </row>
    <row r="14" spans="1:6" x14ac:dyDescent="0.25">
      <c r="A14" s="45" t="s">
        <v>82</v>
      </c>
    </row>
    <row r="15" spans="1:6" x14ac:dyDescent="0.25">
      <c r="A15" s="3" t="s">
        <v>71</v>
      </c>
      <c r="B15" s="3">
        <v>6000</v>
      </c>
      <c r="C15" s="3">
        <v>10.8</v>
      </c>
      <c r="D15" s="3">
        <f>+B15*C15</f>
        <v>64800.000000000007</v>
      </c>
    </row>
    <row r="16" spans="1:6" x14ac:dyDescent="0.25">
      <c r="A16" s="3" t="s">
        <v>72</v>
      </c>
      <c r="B16" s="3">
        <v>28000</v>
      </c>
      <c r="C16" s="3"/>
      <c r="D16" s="3">
        <v>350680</v>
      </c>
    </row>
    <row r="17" spans="1:8" x14ac:dyDescent="0.25">
      <c r="A17" s="3" t="s">
        <v>15</v>
      </c>
      <c r="B17" s="3">
        <f>B15+B16</f>
        <v>34000</v>
      </c>
      <c r="C17" s="3">
        <f>D17/B17</f>
        <v>12.22</v>
      </c>
      <c r="D17" s="3">
        <f>D15+D16</f>
        <v>415480</v>
      </c>
    </row>
    <row r="18" spans="1:8" x14ac:dyDescent="0.25">
      <c r="A18" s="3" t="s">
        <v>73</v>
      </c>
      <c r="B18" s="3">
        <v>4400</v>
      </c>
      <c r="C18" s="3"/>
      <c r="D18" s="3"/>
    </row>
    <row r="19" spans="1:8" x14ac:dyDescent="0.25">
      <c r="A19" s="3" t="s">
        <v>74</v>
      </c>
      <c r="B19" s="3">
        <f>B17-B18</f>
        <v>29600</v>
      </c>
      <c r="C19" s="3">
        <f>+C17</f>
        <v>12.22</v>
      </c>
      <c r="D19" s="3">
        <f>+B19*C19</f>
        <v>361712</v>
      </c>
    </row>
    <row r="21" spans="1:8" x14ac:dyDescent="0.25">
      <c r="A21" s="51" t="s">
        <v>83</v>
      </c>
      <c r="B21" s="4" t="s">
        <v>75</v>
      </c>
      <c r="C21" s="4"/>
      <c r="D21" s="4"/>
      <c r="E21" s="4" t="s">
        <v>76</v>
      </c>
      <c r="F21" s="4"/>
      <c r="G21" s="4"/>
    </row>
    <row r="22" spans="1:8" x14ac:dyDescent="0.25">
      <c r="A22" s="3">
        <v>13500</v>
      </c>
      <c r="B22" s="9" t="s">
        <v>5</v>
      </c>
      <c r="C22" s="9" t="s">
        <v>6</v>
      </c>
      <c r="D22" s="9" t="s">
        <v>7</v>
      </c>
      <c r="E22" s="9" t="s">
        <v>5</v>
      </c>
      <c r="F22" s="9" t="s">
        <v>6</v>
      </c>
      <c r="G22" s="9" t="s">
        <v>7</v>
      </c>
    </row>
    <row r="23" spans="1:8" x14ac:dyDescent="0.25">
      <c r="A23" s="3" t="s">
        <v>65</v>
      </c>
      <c r="B23" s="3">
        <f>B19</f>
        <v>29600</v>
      </c>
      <c r="C23" s="7">
        <f>C17</f>
        <v>12.22</v>
      </c>
      <c r="D23" s="7">
        <f>B23*C23</f>
        <v>361712</v>
      </c>
      <c r="E23" s="3">
        <f>+B3*$A$22</f>
        <v>29700.000000000004</v>
      </c>
      <c r="F23" s="7">
        <f>+C3</f>
        <v>12</v>
      </c>
      <c r="G23" s="7">
        <f>E23*F23</f>
        <v>356400.00000000006</v>
      </c>
      <c r="H23" s="2"/>
    </row>
    <row r="24" spans="1:8" x14ac:dyDescent="0.25">
      <c r="A24" s="3" t="s">
        <v>66</v>
      </c>
      <c r="B24" s="3">
        <v>2580</v>
      </c>
      <c r="C24" s="7"/>
      <c r="D24" s="7">
        <v>104000</v>
      </c>
      <c r="E24" s="3">
        <f t="shared" ref="E24:E26" si="1">+B4*$A$22</f>
        <v>2700</v>
      </c>
      <c r="F24" s="7">
        <f t="shared" ref="F24:F26" si="2">+C4</f>
        <v>40</v>
      </c>
      <c r="G24" s="7">
        <f t="shared" ref="G24:G25" si="3">E24*F24</f>
        <v>108000</v>
      </c>
      <c r="H24" s="2"/>
    </row>
    <row r="25" spans="1:8" x14ac:dyDescent="0.25">
      <c r="A25" s="3" t="s">
        <v>24</v>
      </c>
      <c r="B25" s="3">
        <v>9360</v>
      </c>
      <c r="C25" s="7"/>
      <c r="D25" s="7">
        <v>401900</v>
      </c>
      <c r="E25" s="3">
        <f t="shared" si="1"/>
        <v>9450</v>
      </c>
      <c r="F25" s="7">
        <f t="shared" si="2"/>
        <v>43</v>
      </c>
      <c r="G25" s="7">
        <f t="shared" si="3"/>
        <v>406350</v>
      </c>
      <c r="H25" s="2"/>
    </row>
    <row r="26" spans="1:8" x14ac:dyDescent="0.25">
      <c r="A26" s="3" t="s">
        <v>67</v>
      </c>
      <c r="B26" s="3">
        <v>20200</v>
      </c>
      <c r="C26" s="7"/>
      <c r="D26" s="7">
        <f>450000+5.9*B26</f>
        <v>569180</v>
      </c>
      <c r="E26" s="3">
        <f t="shared" si="1"/>
        <v>20250</v>
      </c>
      <c r="F26" s="7">
        <f t="shared" si="2"/>
        <v>24</v>
      </c>
      <c r="G26" s="7">
        <f>E26*F26</f>
        <v>486000</v>
      </c>
      <c r="H26" s="2"/>
    </row>
    <row r="27" spans="1:8" ht="30" x14ac:dyDescent="0.25">
      <c r="A27" s="49" t="s">
        <v>77</v>
      </c>
      <c r="B27" s="3">
        <f>A22</f>
        <v>13500</v>
      </c>
      <c r="C27" s="7">
        <f>D27/B27</f>
        <v>106.42903703703703</v>
      </c>
      <c r="D27" s="7">
        <f>SUM(D23:D26)</f>
        <v>1436792</v>
      </c>
      <c r="E27" s="3">
        <f>B27</f>
        <v>13500</v>
      </c>
      <c r="F27" s="3">
        <f>G27/E27</f>
        <v>100.5</v>
      </c>
      <c r="G27" s="7">
        <f>SUM(G23:G26)</f>
        <v>1356750</v>
      </c>
    </row>
    <row r="28" spans="1:8" x14ac:dyDescent="0.25">
      <c r="C28" s="12"/>
      <c r="D28" s="12"/>
    </row>
    <row r="29" spans="1:8" x14ac:dyDescent="0.25">
      <c r="A29" s="45" t="s">
        <v>84</v>
      </c>
      <c r="C29" s="12"/>
      <c r="D29" s="12"/>
    </row>
    <row r="30" spans="1:8" x14ac:dyDescent="0.25">
      <c r="C30" s="12"/>
      <c r="D30" s="12"/>
    </row>
    <row r="31" spans="1:8" x14ac:dyDescent="0.25">
      <c r="A31" s="3" t="s">
        <v>71</v>
      </c>
      <c r="B31" s="3">
        <v>750</v>
      </c>
      <c r="C31" s="7">
        <v>98.3</v>
      </c>
      <c r="D31" s="7">
        <f>+B31*C31</f>
        <v>73725</v>
      </c>
    </row>
    <row r="32" spans="1:8" x14ac:dyDescent="0.25">
      <c r="A32" s="3" t="s">
        <v>1</v>
      </c>
      <c r="B32" s="3">
        <f>B27</f>
        <v>13500</v>
      </c>
      <c r="C32" s="7">
        <f>C27</f>
        <v>106.42903703703703</v>
      </c>
      <c r="D32" s="7">
        <f>D27</f>
        <v>1436792</v>
      </c>
    </row>
    <row r="33" spans="1:8" x14ac:dyDescent="0.25">
      <c r="A33" s="3" t="s">
        <v>15</v>
      </c>
      <c r="B33" s="3">
        <f>B31+B32</f>
        <v>14250</v>
      </c>
      <c r="C33" s="7">
        <f>D33/B33</f>
        <v>106.00119298245615</v>
      </c>
      <c r="D33" s="7">
        <f>D31+D32</f>
        <v>1510517</v>
      </c>
    </row>
    <row r="34" spans="1:8" x14ac:dyDescent="0.25">
      <c r="A34" s="3" t="s">
        <v>79</v>
      </c>
      <c r="B34" s="3">
        <v>14100</v>
      </c>
      <c r="C34" s="7">
        <f>C33</f>
        <v>106.00119298245615</v>
      </c>
      <c r="D34" s="7">
        <f>B34*C34</f>
        <v>1494616.8210526316</v>
      </c>
    </row>
    <row r="35" spans="1:8" x14ac:dyDescent="0.25">
      <c r="C35" s="12"/>
      <c r="D35" s="12"/>
    </row>
    <row r="36" spans="1:8" x14ac:dyDescent="0.25">
      <c r="C36" s="12"/>
      <c r="D36" s="12"/>
    </row>
    <row r="37" spans="1:8" x14ac:dyDescent="0.25">
      <c r="B37" s="4" t="s">
        <v>75</v>
      </c>
      <c r="C37" s="4"/>
      <c r="D37" s="4"/>
      <c r="E37" s="4" t="s">
        <v>76</v>
      </c>
      <c r="F37" s="4"/>
      <c r="G37" s="4"/>
    </row>
    <row r="38" spans="1:8" x14ac:dyDescent="0.25">
      <c r="A38">
        <v>14100</v>
      </c>
      <c r="B38" s="50" t="s">
        <v>5</v>
      </c>
      <c r="C38" s="50" t="s">
        <v>6</v>
      </c>
      <c r="D38" s="50" t="s">
        <v>7</v>
      </c>
      <c r="E38" s="50" t="s">
        <v>5</v>
      </c>
      <c r="F38" s="50" t="s">
        <v>6</v>
      </c>
      <c r="G38" s="50" t="s">
        <v>7</v>
      </c>
    </row>
    <row r="39" spans="1:8" ht="30" x14ac:dyDescent="0.25">
      <c r="A39" s="49" t="s">
        <v>78</v>
      </c>
      <c r="B39" s="3">
        <v>14100</v>
      </c>
      <c r="C39" s="7">
        <f>C34</f>
        <v>106.00119298245615</v>
      </c>
      <c r="D39" s="7">
        <f>B39*C39</f>
        <v>1494616.8210526316</v>
      </c>
      <c r="E39" s="3">
        <f>B39</f>
        <v>14100</v>
      </c>
      <c r="F39" s="7">
        <f>F27</f>
        <v>100.5</v>
      </c>
      <c r="G39" s="46">
        <f>E39*F39</f>
        <v>1417050</v>
      </c>
      <c r="H39" s="2"/>
    </row>
    <row r="40" spans="1:8" x14ac:dyDescent="0.25">
      <c r="A40" s="3" t="s">
        <v>68</v>
      </c>
      <c r="B40" s="3">
        <v>14100</v>
      </c>
      <c r="C40" s="7">
        <v>6.8</v>
      </c>
      <c r="D40" s="7">
        <f>B40*C40</f>
        <v>95880</v>
      </c>
      <c r="E40" s="3">
        <v>14100</v>
      </c>
      <c r="F40" s="7">
        <f>+C7</f>
        <v>7</v>
      </c>
      <c r="G40" s="46">
        <f>E40*F40</f>
        <v>98700</v>
      </c>
      <c r="H40" s="2"/>
    </row>
    <row r="41" spans="1:8" x14ac:dyDescent="0.25">
      <c r="A41" s="3" t="s">
        <v>69</v>
      </c>
      <c r="B41" s="3">
        <v>14100</v>
      </c>
      <c r="C41" s="7"/>
      <c r="D41" s="7">
        <v>208000</v>
      </c>
      <c r="E41" s="3">
        <v>14100</v>
      </c>
      <c r="F41" s="7">
        <f>+C8</f>
        <v>15</v>
      </c>
      <c r="G41" s="46">
        <f>E41*F41</f>
        <v>211500</v>
      </c>
      <c r="H41" s="2"/>
    </row>
    <row r="42" spans="1:8" ht="26.45" customHeight="1" x14ac:dyDescent="0.25">
      <c r="A42" s="49" t="s">
        <v>80</v>
      </c>
      <c r="B42" s="3">
        <f>B41</f>
        <v>14100</v>
      </c>
      <c r="C42" s="7">
        <f>D42/B42</f>
        <v>127.55296603210154</v>
      </c>
      <c r="D42" s="7">
        <f>SUM(D39:D41)</f>
        <v>1798496.8210526316</v>
      </c>
      <c r="E42" s="3">
        <f>E41</f>
        <v>14100</v>
      </c>
      <c r="F42" s="7">
        <f>G42/E42</f>
        <v>122.5</v>
      </c>
      <c r="G42" s="46">
        <f>SUM(G39:G41)</f>
        <v>1727250</v>
      </c>
      <c r="H42" s="26"/>
    </row>
    <row r="44" spans="1:8" x14ac:dyDescent="0.25">
      <c r="G44" s="26">
        <f>D42-G42</f>
        <v>71246.821052631596</v>
      </c>
    </row>
    <row r="45" spans="1:8" x14ac:dyDescent="0.25">
      <c r="A45" s="45" t="s">
        <v>85</v>
      </c>
    </row>
    <row r="46" spans="1:8" x14ac:dyDescent="0.25">
      <c r="A46" s="45" t="s">
        <v>81</v>
      </c>
      <c r="H46" s="2"/>
    </row>
  </sheetData>
  <mergeCells count="4">
    <mergeCell ref="B21:D21"/>
    <mergeCell ref="E21:G21"/>
    <mergeCell ref="B37:D37"/>
    <mergeCell ref="E37:G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B2336C-A417-4ABB-AA7F-51671E22F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91CEE-7A43-45E8-8864-E9D3988BF1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1A45C0-67A8-48CC-913E-6E1B86280CBF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b6f2b70-d5a1-4544-a145-5b4293f13656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 1</vt:lpstr>
      <vt:lpstr>Exercice 2</vt:lpstr>
      <vt:lpstr>Exercice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2022-08-17T10:25:56Z</dcterms:created>
  <dcterms:modified xsi:type="dcterms:W3CDTF">2022-08-17T11:25:31Z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</Properties>
</file>