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noel\OneDrive\Enseignement\IUT BRETIGNY GEA\M32F05 - M32M05 FA - FI\Méthode de l'IR\"/>
    </mc:Choice>
  </mc:AlternateContent>
  <xr:revisionPtr revIDLastSave="7" documentId="11_96B203C24C20729BCC3B01E906E36E942E513EFF" xr6:coauthVersionLast="36" xr6:coauthVersionMax="36" xr10:uidLastSave="{5B2A16BB-622F-4E05-BB8D-B5F09552864E}"/>
  <bookViews>
    <workbookView xWindow="480" yWindow="60" windowWidth="11715" windowHeight="10050" xr2:uid="{00000000-000D-0000-FFFF-FFFF00000000}"/>
  </bookViews>
  <sheets>
    <sheet name="Exo 1" sheetId="4" r:id="rId1"/>
    <sheet name="Exo 2" sheetId="3" r:id="rId2"/>
    <sheet name="Exo 3" sheetId="1" r:id="rId3"/>
    <sheet name="Exo 4" sheetId="6" r:id="rId4"/>
    <sheet name="Exo 4 Bis" sheetId="2" r:id="rId5"/>
  </sheets>
  <calcPr calcId="191029"/>
</workbook>
</file>

<file path=xl/calcChain.xml><?xml version="1.0" encoding="utf-8"?>
<calcChain xmlns="http://schemas.openxmlformats.org/spreadsheetml/2006/main">
  <c r="C64" i="6" l="1"/>
  <c r="C63" i="6"/>
  <c r="L61" i="6"/>
  <c r="K61" i="6"/>
  <c r="M61" i="6" s="1"/>
  <c r="E55" i="6"/>
  <c r="D54" i="6"/>
  <c r="E54" i="6" s="1"/>
  <c r="C46" i="6"/>
  <c r="G42" i="6"/>
  <c r="D42" i="6"/>
  <c r="C40" i="6"/>
  <c r="C41" i="6" s="1"/>
  <c r="C42" i="6" s="1"/>
  <c r="E42" i="6" s="1"/>
  <c r="F39" i="6"/>
  <c r="C39" i="6"/>
  <c r="G38" i="6"/>
  <c r="H38" i="6" s="1"/>
  <c r="F38" i="6"/>
  <c r="C38" i="6"/>
  <c r="E38" i="6" s="1"/>
  <c r="P36" i="6"/>
  <c r="Q36" i="6" s="1"/>
  <c r="N36" i="6"/>
  <c r="O36" i="6" s="1"/>
  <c r="M36" i="6"/>
  <c r="K36" i="6"/>
  <c r="L36" i="6" s="1"/>
  <c r="G35" i="6"/>
  <c r="D35" i="6"/>
  <c r="C35" i="6"/>
  <c r="E35" i="6" s="1"/>
  <c r="F34" i="6"/>
  <c r="F35" i="6" s="1"/>
  <c r="C34" i="6"/>
  <c r="D33" i="6"/>
  <c r="G33" i="6" s="1"/>
  <c r="C33" i="6"/>
  <c r="E33" i="6" s="1"/>
  <c r="F32" i="6"/>
  <c r="C32" i="6"/>
  <c r="F31" i="6"/>
  <c r="H31" i="6" s="1"/>
  <c r="C31" i="6"/>
  <c r="E31" i="6" s="1"/>
  <c r="H30" i="6"/>
  <c r="E30" i="6"/>
  <c r="E24" i="6"/>
  <c r="G40" i="6" s="1"/>
  <c r="D24" i="6"/>
  <c r="C24" i="6"/>
  <c r="E23" i="6"/>
  <c r="E22" i="6"/>
  <c r="E25" i="6" s="1"/>
  <c r="D22" i="6"/>
  <c r="D23" i="6" s="1"/>
  <c r="C22" i="6"/>
  <c r="C23" i="6" s="1"/>
  <c r="E21" i="6"/>
  <c r="D21" i="6"/>
  <c r="C21" i="6"/>
  <c r="E10" i="6"/>
  <c r="E9" i="6"/>
  <c r="D5" i="6"/>
  <c r="C5" i="6"/>
  <c r="F36" i="6" l="1"/>
  <c r="H35" i="6"/>
  <c r="C62" i="6"/>
  <c r="C65" i="6" s="1"/>
  <c r="E56" i="6"/>
  <c r="G39" i="6"/>
  <c r="H39" i="6" s="1"/>
  <c r="D39" i="6"/>
  <c r="E39" i="6" s="1"/>
  <c r="C25" i="6"/>
  <c r="D32" i="6" s="1"/>
  <c r="D40" i="6"/>
  <c r="D25" i="6"/>
  <c r="D34" i="6" s="1"/>
  <c r="C36" i="6"/>
  <c r="E40" i="6"/>
  <c r="C53" i="6"/>
  <c r="F33" i="6"/>
  <c r="H33" i="6" s="1"/>
  <c r="F40" i="6"/>
  <c r="H40" i="6" l="1"/>
  <c r="F41" i="6"/>
  <c r="F42" i="6"/>
  <c r="C56" i="6"/>
  <c r="D53" i="6"/>
  <c r="K59" i="6"/>
  <c r="E32" i="6"/>
  <c r="G32" i="6"/>
  <c r="H32" i="6" s="1"/>
  <c r="H36" i="6" s="1"/>
  <c r="E34" i="6"/>
  <c r="G34" i="6"/>
  <c r="H34" i="6" s="1"/>
  <c r="G36" i="6" l="1"/>
  <c r="G37" i="6" s="1"/>
  <c r="H37" i="6" s="1"/>
  <c r="E36" i="6"/>
  <c r="D36" i="6" s="1"/>
  <c r="D37" i="6" s="1"/>
  <c r="E37" i="6" s="1"/>
  <c r="E41" i="6" s="1"/>
  <c r="D56" i="6"/>
  <c r="L59" i="6"/>
  <c r="F43" i="6"/>
  <c r="H42" i="6"/>
  <c r="I36" i="6" l="1"/>
  <c r="D41" i="6"/>
  <c r="E43" i="6"/>
  <c r="I37" i="6"/>
  <c r="H41" i="6"/>
  <c r="D43" i="6" l="1"/>
  <c r="I41" i="6"/>
  <c r="G41" i="6"/>
  <c r="H43" i="6"/>
  <c r="G43" i="6" s="1"/>
  <c r="I43" i="6" l="1"/>
  <c r="H21" i="1" l="1"/>
  <c r="J19" i="1"/>
  <c r="J6" i="1"/>
  <c r="B42" i="2" l="1"/>
  <c r="H26" i="2"/>
  <c r="H6" i="1" l="1"/>
  <c r="D23" i="1" l="1"/>
  <c r="E42" i="2" l="1"/>
  <c r="B14" i="1"/>
  <c r="D18" i="1" s="1"/>
  <c r="G25" i="3" l="1"/>
  <c r="G26" i="3" s="1"/>
  <c r="H25" i="3"/>
  <c r="G22" i="3"/>
  <c r="D23" i="3"/>
  <c r="I27" i="3" s="1"/>
  <c r="I30" i="3" s="1"/>
  <c r="C22" i="3"/>
  <c r="H26" i="3" s="1"/>
  <c r="B22" i="3"/>
  <c r="B24" i="3" s="1"/>
  <c r="D21" i="3"/>
  <c r="C7" i="3"/>
  <c r="H11" i="3" s="1"/>
  <c r="H10" i="3"/>
  <c r="I10" i="3" s="1"/>
  <c r="G11" i="3"/>
  <c r="G13" i="3" s="1"/>
  <c r="G14" i="3" s="1"/>
  <c r="G7" i="3"/>
  <c r="D8" i="3"/>
  <c r="I12" i="3" s="1"/>
  <c r="B7" i="3"/>
  <c r="B10" i="3" s="1"/>
  <c r="D6" i="3"/>
  <c r="A7" i="4"/>
  <c r="F7" i="4" s="1"/>
  <c r="F21" i="4"/>
  <c r="G19" i="4"/>
  <c r="I19" i="4" s="1"/>
  <c r="I18" i="4"/>
  <c r="G15" i="4"/>
  <c r="I20" i="4" s="1"/>
  <c r="I23" i="4" s="1"/>
  <c r="B15" i="4"/>
  <c r="D20" i="4" s="1"/>
  <c r="D23" i="4" s="1"/>
  <c r="B19" i="4"/>
  <c r="D19" i="4" s="1"/>
  <c r="D18" i="4"/>
  <c r="G5" i="4"/>
  <c r="I5" i="4" s="1"/>
  <c r="I7" i="4" s="1"/>
  <c r="I4" i="4"/>
  <c r="B5" i="4"/>
  <c r="D5" i="4" s="1"/>
  <c r="D7" i="4" s="1"/>
  <c r="D4" i="4"/>
  <c r="I21" i="4" l="1"/>
  <c r="B25" i="3"/>
  <c r="I26" i="3"/>
  <c r="I28" i="3" s="1"/>
  <c r="I25" i="3"/>
  <c r="I29" i="3"/>
  <c r="G28" i="3"/>
  <c r="G29" i="3" s="1"/>
  <c r="D22" i="3"/>
  <c r="D24" i="3" s="1"/>
  <c r="C24" i="3" s="1"/>
  <c r="I11" i="3"/>
  <c r="I13" i="3" s="1"/>
  <c r="H13" i="3" s="1"/>
  <c r="D7" i="3"/>
  <c r="D9" i="3" s="1"/>
  <c r="B9" i="3"/>
  <c r="D21" i="4"/>
  <c r="G21" i="4"/>
  <c r="G22" i="4" s="1"/>
  <c r="B7" i="4"/>
  <c r="C7" i="4" s="1"/>
  <c r="D8" i="4"/>
  <c r="B8" i="4"/>
  <c r="G7" i="4"/>
  <c r="G8" i="4" s="1"/>
  <c r="I22" i="4"/>
  <c r="B21" i="4"/>
  <c r="D22" i="4"/>
  <c r="C22" i="4" s="1"/>
  <c r="I8" i="4"/>
  <c r="C21" i="4" l="1"/>
  <c r="H22" i="4"/>
  <c r="H29" i="3"/>
  <c r="H28" i="3"/>
  <c r="D25" i="3"/>
  <c r="C25" i="3" s="1"/>
  <c r="I14" i="3"/>
  <c r="H14" i="3" s="1"/>
  <c r="D10" i="3"/>
  <c r="C10" i="3" s="1"/>
  <c r="C9" i="3"/>
  <c r="H21" i="4"/>
  <c r="H7" i="4"/>
  <c r="C8" i="4"/>
  <c r="H8" i="4"/>
  <c r="G45" i="2"/>
  <c r="D45" i="2"/>
  <c r="G38" i="2"/>
  <c r="G41" i="2"/>
  <c r="E43" i="2"/>
  <c r="E36" i="2"/>
  <c r="D33" i="2"/>
  <c r="G33" i="2"/>
  <c r="D32" i="2"/>
  <c r="G32" i="2"/>
  <c r="B39" i="2"/>
  <c r="B37" i="2"/>
  <c r="B36" i="2"/>
  <c r="E23" i="2"/>
  <c r="E25" i="2" s="1"/>
  <c r="E27" i="2" s="1"/>
  <c r="C37" i="2" s="1"/>
  <c r="F37" i="2" s="1"/>
  <c r="G23" i="2"/>
  <c r="G25" i="2" s="1"/>
  <c r="G27" i="2" s="1"/>
  <c r="C40" i="2" s="1"/>
  <c r="F40" i="2" s="1"/>
  <c r="G40" i="2" s="1"/>
  <c r="I23" i="2"/>
  <c r="I25" i="2" s="1"/>
  <c r="H23" i="2"/>
  <c r="F23" i="2"/>
  <c r="B23" i="2"/>
  <c r="H24" i="2" s="1"/>
  <c r="B22" i="1"/>
  <c r="D21" i="1"/>
  <c r="J18" i="1" s="1"/>
  <c r="B20" i="1"/>
  <c r="B19" i="1"/>
  <c r="D17" i="1"/>
  <c r="B9" i="1"/>
  <c r="B10" i="1" s="1"/>
  <c r="B7" i="1"/>
  <c r="D5" i="1"/>
  <c r="H5" i="1" s="1"/>
  <c r="H8" i="1" s="1"/>
  <c r="D9" i="1" l="1"/>
  <c r="J5" i="1" s="1"/>
  <c r="D19" i="1"/>
  <c r="C19" i="1" s="1"/>
  <c r="J21" i="1" s="1"/>
  <c r="D7" i="1"/>
  <c r="C7" i="1" s="1"/>
  <c r="H25" i="2"/>
  <c r="H27" i="2" s="1"/>
  <c r="C42" i="2" s="1"/>
  <c r="F42" i="2" s="1"/>
  <c r="G42" i="2" s="1"/>
  <c r="D37" i="2"/>
  <c r="F24" i="2"/>
  <c r="F25" i="2" s="1"/>
  <c r="F27" i="2" s="1"/>
  <c r="C39" i="2" s="1"/>
  <c r="B25" i="2"/>
  <c r="B40" i="2"/>
  <c r="D40" i="2" s="1"/>
  <c r="E37" i="2"/>
  <c r="G37" i="2" s="1"/>
  <c r="D24" i="2"/>
  <c r="D25" i="2" s="1"/>
  <c r="D27" i="2" s="1"/>
  <c r="C36" i="2" s="1"/>
  <c r="I27" i="2"/>
  <c r="C43" i="2" s="1"/>
  <c r="F43" i="2" s="1"/>
  <c r="G43" i="2" s="1"/>
  <c r="B43" i="2"/>
  <c r="C8" i="1" l="1"/>
  <c r="D8" i="1" s="1"/>
  <c r="D10" i="1" s="1"/>
  <c r="J8" i="1"/>
  <c r="C20" i="1"/>
  <c r="D20" i="1" s="1"/>
  <c r="D22" i="1" s="1"/>
  <c r="D42" i="2"/>
  <c r="F39" i="2"/>
  <c r="G39" i="2" s="1"/>
  <c r="D39" i="2"/>
  <c r="F36" i="2"/>
  <c r="G36" i="2" s="1"/>
  <c r="G44" i="2" s="1"/>
  <c r="G46" i="2" s="1"/>
  <c r="D36" i="2"/>
  <c r="D43" i="2"/>
  <c r="D44" i="2" l="1"/>
  <c r="D46" i="2" s="1"/>
  <c r="D24" i="1"/>
  <c r="C22" i="1"/>
  <c r="C10" i="1"/>
  <c r="C2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B1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535/600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641/600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10000 * 0,89166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10000 * 1,0683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C7" authorId="0" shapeId="0" xr:uid="{47EC349B-3FFE-44E8-9EE2-C3B5A49FF2C1}">
      <text>
        <r>
          <rPr>
            <b/>
            <sz val="9"/>
            <color indexed="81"/>
            <rFont val="Tahoma"/>
            <family val="2"/>
          </rPr>
          <t>460+410=870€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11500 * 450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2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 xml:space="preserve">5 175 000 * 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2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8000 / 11500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7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 xml:space="preserve">5 175 000 * 0,6957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0" authorId="0" shapeId="0" xr:uid="{6089A56F-71FB-426D-91A3-BB973848DBFA}">
      <text>
        <r>
          <rPr>
            <b/>
            <sz val="9"/>
            <color indexed="81"/>
            <rFont val="Tahoma"/>
            <family val="2"/>
          </rPr>
          <t>CF réelles : 5 175 000€
CF affectées  3 600 000€
Différence d'imputation : 1 575 000€
Sous activité (malis ou cout de sous activité)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J6" authorId="0" shapeId="0" xr:uid="{3FCE71AE-AC2F-4890-BE36-FB5958237B70}">
      <text>
        <r>
          <rPr>
            <b/>
            <sz val="9"/>
            <color indexed="81"/>
            <rFont val="Tahoma"/>
            <family val="2"/>
          </rPr>
          <t>Production : 50000
Ventes : 40000
Stock restant : 10000
Cout de production pour une unité : 4,40€
Valeur du stock : 
10000 * 4,4€ =
44000€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AR / AN  =&gt; 50000/60000</t>
        </r>
      </text>
    </comment>
    <comment ref="D1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120000 * 0,83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120000 - 100000</t>
        </r>
        <r>
          <rPr>
            <sz val="9"/>
            <color indexed="81"/>
            <rFont val="Tahoma"/>
            <family val="2"/>
          </rPr>
          <t xml:space="preserve">
Malis</t>
        </r>
      </text>
    </comment>
    <comment ref="D24" authorId="0" shapeId="0" xr:uid="{0DDDBE01-52E9-4D84-89EC-332FDA40EDEC}">
      <text>
        <r>
          <rPr>
            <b/>
            <sz val="9"/>
            <color indexed="81"/>
            <rFont val="Tahoma"/>
            <family val="2"/>
          </rPr>
          <t>80000 - (malis : 20000) : 60000€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C22" authorId="0" shapeId="0" xr:uid="{E1760CAC-8015-4C45-9BB5-A1ECB0FA187F}">
      <text>
        <r>
          <rPr>
            <b/>
            <sz val="9"/>
            <color indexed="81"/>
            <rFont val="Tahoma"/>
            <family val="2"/>
          </rPr>
          <t>320000 * 0,90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4" authorId="0" shapeId="0" xr:uid="{5B54785A-FE9F-4330-A14A-3C2373B56A71}">
      <text>
        <r>
          <rPr>
            <b/>
            <sz val="9"/>
            <color indexed="81"/>
            <rFont val="Tahoma"/>
            <family val="2"/>
          </rPr>
          <t>200000/16200 = 12,35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5" authorId="0" shapeId="0" xr:uid="{50807B6B-AA92-43AB-B089-F2488C7BAC7A}">
      <text>
        <r>
          <rPr>
            <b/>
            <sz val="9"/>
            <color indexed="81"/>
            <rFont val="Tahoma"/>
            <family val="2"/>
          </rPr>
          <t>288000 / 16200 = 17,78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8" authorId="0" shapeId="0" xr:uid="{DB0D9009-412A-43A4-AE29-67D3C010AF6C}">
      <text>
        <r>
          <rPr>
            <b/>
            <sz val="9"/>
            <color indexed="81"/>
            <rFont val="Tahoma"/>
            <family val="2"/>
          </rPr>
          <t>2500 * 450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6" authorId="0" shapeId="0" xr:uid="{29257CFA-00CC-4EFA-9C3A-83536FD07649}">
      <text>
        <r>
          <rPr>
            <b/>
            <sz val="9"/>
            <color indexed="81"/>
            <rFont val="Tahoma"/>
            <family val="2"/>
          </rPr>
          <t>2 406 200 - 2 397 000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4" authorId="0" shapeId="0" xr:uid="{EB6F61C2-A958-4E90-A523-DFCBF9C8C93A}">
      <text>
        <r>
          <rPr>
            <b/>
            <sz val="9"/>
            <color indexed="81"/>
            <rFont val="Tahoma"/>
            <family val="2"/>
          </rPr>
          <t>270720 (IR) - 292000 (Coût complet)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F23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40000 * 0,90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3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10000*1,20</t>
        </r>
      </text>
    </comment>
    <comment ref="F24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9500 * 70%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<sst xmlns="http://schemas.openxmlformats.org/spreadsheetml/2006/main" count="280" uniqueCount="139">
  <si>
    <t>PU</t>
  </si>
  <si>
    <t>Coût variable</t>
  </si>
  <si>
    <t>Coût fixe</t>
  </si>
  <si>
    <t>Vente</t>
  </si>
  <si>
    <t>Résultat analytique</t>
  </si>
  <si>
    <t>Montant</t>
  </si>
  <si>
    <t>Quantité</t>
  </si>
  <si>
    <t>ANNEXE A</t>
  </si>
  <si>
    <t>ANNEXE B</t>
  </si>
  <si>
    <t>Coût fixe imputé</t>
  </si>
  <si>
    <t>Cout de revient de la production réalisée</t>
  </si>
  <si>
    <t>Cout de revient de la production vendue</t>
  </si>
  <si>
    <t>Résultat analytique avec l'écart d'IR</t>
  </si>
  <si>
    <t>Ecart d'IR</t>
  </si>
  <si>
    <t>Charges variables</t>
  </si>
  <si>
    <t>Charges fixes</t>
  </si>
  <si>
    <t>Résultat</t>
  </si>
  <si>
    <t>TOTAL CHARGES</t>
  </si>
  <si>
    <t>TOTAL PRODUITS</t>
  </si>
  <si>
    <t>CA</t>
  </si>
  <si>
    <t>Stock de produits finis</t>
  </si>
  <si>
    <t>MONTANT</t>
  </si>
  <si>
    <t xml:space="preserve"> ANNEXE 3  -  RESULTAT - COUT COMPLET</t>
  </si>
  <si>
    <t>ANNEXE 3  -RESULTAT - COUT IR</t>
  </si>
  <si>
    <t>Administration</t>
  </si>
  <si>
    <t>Achats</t>
  </si>
  <si>
    <t>Production</t>
  </si>
  <si>
    <t>Ventes</t>
  </si>
  <si>
    <t>Totaux</t>
  </si>
  <si>
    <t>UO</t>
  </si>
  <si>
    <t>-</t>
  </si>
  <si>
    <t>1 tonne achetée</t>
  </si>
  <si>
    <t>h MOD</t>
  </si>
  <si>
    <t>100 € de CA</t>
  </si>
  <si>
    <t>CIR</t>
  </si>
  <si>
    <t>0.95</t>
  </si>
  <si>
    <t>Répartition administration</t>
  </si>
  <si>
    <t>Commande 1</t>
  </si>
  <si>
    <t>Commande 2</t>
  </si>
  <si>
    <t>Matière première utilisée</t>
  </si>
  <si>
    <t>70 tonnes</t>
  </si>
  <si>
    <t>20 tonnes</t>
  </si>
  <si>
    <t>MOD</t>
  </si>
  <si>
    <t>300 h</t>
  </si>
  <si>
    <t>100 h</t>
  </si>
  <si>
    <t>Facturation</t>
  </si>
  <si>
    <t>Charges imputées</t>
  </si>
  <si>
    <t>Répartiton administration</t>
  </si>
  <si>
    <t>Répartition secondaire</t>
  </si>
  <si>
    <t>Nombre UO</t>
  </si>
  <si>
    <t>Coût UO</t>
  </si>
  <si>
    <t>-Fixes</t>
  </si>
  <si>
    <t>-Variables</t>
  </si>
  <si>
    <t>Charges directes atelier de production</t>
  </si>
  <si>
    <t>TOTAL</t>
  </si>
  <si>
    <t>RAN</t>
  </si>
  <si>
    <t>CV</t>
  </si>
  <si>
    <t>CF</t>
  </si>
  <si>
    <t>RESULTAT</t>
  </si>
  <si>
    <t>Q</t>
  </si>
  <si>
    <t>M</t>
  </si>
  <si>
    <t>HYPOTHESE 1 COUT COMPLET</t>
  </si>
  <si>
    <t>HYPOTHESE 2 COUT COMPLET</t>
  </si>
  <si>
    <t>HYPOTHESE 1 COUT I.R.</t>
  </si>
  <si>
    <t>Activité normale</t>
  </si>
  <si>
    <t>Activité Réelle</t>
  </si>
  <si>
    <t>Coefficient d'IR</t>
  </si>
  <si>
    <t>CF affectées</t>
  </si>
  <si>
    <t>HYPOTHESE 2 COUT I.R.</t>
  </si>
  <si>
    <t>COUT DE REVIENT</t>
  </si>
  <si>
    <t>HYPOTHESE 2 COUT COMPLET  8000 UNITES</t>
  </si>
  <si>
    <t>HYPOTHESE 2 COUT I.R. - 8000 UNITES</t>
  </si>
  <si>
    <t>CHARGES</t>
  </si>
  <si>
    <t>PRODUITS</t>
  </si>
  <si>
    <t>Activité réelle</t>
  </si>
  <si>
    <t>C IR</t>
  </si>
  <si>
    <t>Résultat analytique avec IR</t>
  </si>
  <si>
    <t>CF TOTALE</t>
  </si>
  <si>
    <t>BONI DE SURACTIVITE</t>
  </si>
  <si>
    <t>COUT DE SOUS ACTIVITE</t>
  </si>
  <si>
    <r>
      <t>Cout de revient de la production</t>
    </r>
    <r>
      <rPr>
        <b/>
        <sz val="11"/>
        <color theme="1"/>
        <rFont val="Calibri"/>
        <family val="2"/>
        <scheme val="minor"/>
      </rPr>
      <t xml:space="preserve"> vendue</t>
    </r>
  </si>
  <si>
    <t>Malis d'activité</t>
  </si>
  <si>
    <r>
      <t xml:space="preserve">HYPOTHESE 1 </t>
    </r>
    <r>
      <rPr>
        <b/>
        <sz val="11"/>
        <color theme="1"/>
        <rFont val="Calibri"/>
        <family val="2"/>
        <scheme val="minor"/>
      </rPr>
      <t>COUT COMPLET  11500 UNITES</t>
    </r>
  </si>
  <si>
    <t>Charges directes de production</t>
  </si>
  <si>
    <t>Stock de produit finis</t>
  </si>
  <si>
    <t xml:space="preserve">Question 1 : </t>
  </si>
  <si>
    <t>Approvisionnement</t>
  </si>
  <si>
    <t>Charges indirectes de production</t>
  </si>
  <si>
    <t xml:space="preserve">Coût de l'unité d'œuvre </t>
  </si>
  <si>
    <t>Question 2</t>
  </si>
  <si>
    <t>Produit A</t>
  </si>
  <si>
    <t>Produit B</t>
  </si>
  <si>
    <t>OK</t>
  </si>
  <si>
    <t>Coût avec la méthode de l'imputation rationnelle des charges fixes</t>
  </si>
  <si>
    <t>Centres</t>
  </si>
  <si>
    <t>Approvsionnement</t>
  </si>
  <si>
    <t>Distribution</t>
  </si>
  <si>
    <t>Montant des charges</t>
  </si>
  <si>
    <t>Production réelle</t>
  </si>
  <si>
    <t>produits A</t>
  </si>
  <si>
    <t>produits B</t>
  </si>
  <si>
    <t>Kg acheté</t>
  </si>
  <si>
    <t>Unités produites</t>
  </si>
  <si>
    <t>Unités vendues</t>
  </si>
  <si>
    <t>Coeff. IR (A réelle / A Normale)</t>
  </si>
  <si>
    <t>Charges fixes imputées</t>
  </si>
  <si>
    <t>Différence d'imputation</t>
  </si>
  <si>
    <t>CUO Variable</t>
  </si>
  <si>
    <t>CUO Fixe en IR</t>
  </si>
  <si>
    <t>PRODUIT A</t>
  </si>
  <si>
    <t>PRODUIT B</t>
  </si>
  <si>
    <t>Approvisionnement fixe</t>
  </si>
  <si>
    <t>Approvisionnement variable</t>
  </si>
  <si>
    <t>Production fixe</t>
  </si>
  <si>
    <t>Production variable</t>
  </si>
  <si>
    <t>Coût de production des unités fabriquées</t>
  </si>
  <si>
    <t>Coût de production des unités vendues</t>
  </si>
  <si>
    <t>Commission directe</t>
  </si>
  <si>
    <t>Distribution fixe</t>
  </si>
  <si>
    <t>Distribution variable</t>
  </si>
  <si>
    <t>Coût de revient</t>
  </si>
  <si>
    <t>Différence avec la méthode du coût complet</t>
  </si>
  <si>
    <t>IR</t>
  </si>
  <si>
    <t>Coût complet</t>
  </si>
  <si>
    <t>Ecarts</t>
  </si>
  <si>
    <t>Charges directes</t>
  </si>
  <si>
    <t>Approv</t>
  </si>
  <si>
    <t>16200 Kg</t>
  </si>
  <si>
    <t>18000 Kg</t>
  </si>
  <si>
    <t>5200 unités</t>
  </si>
  <si>
    <t>5000 unités</t>
  </si>
  <si>
    <t>Résultat IR produit A</t>
  </si>
  <si>
    <t>Résultat IR produit B</t>
  </si>
  <si>
    <t>4300 unités</t>
  </si>
  <si>
    <t>5000unités</t>
  </si>
  <si>
    <t>Différence d'imputation Approv</t>
  </si>
  <si>
    <t>Différence d'imputation Prod</t>
  </si>
  <si>
    <t>Différence d'imputation Dist</t>
  </si>
  <si>
    <t>Résultat cout complet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</si>
</sst>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0.0000"/>
    <numFmt numFmtId="166" formatCode="0.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333333"/>
      <name val="Verdana"/>
      <family val="2"/>
    </font>
    <font>
      <b/>
      <sz val="10"/>
      <color rgb="FF333333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4" fontId="0" fillId="0" borderId="1" xfId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/>
    </xf>
    <xf numFmtId="0" fontId="0" fillId="2" borderId="3" xfId="0" applyFill="1" applyBorder="1" applyAlignment="1">
      <alignment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6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6" fontId="2" fillId="2" borderId="8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9" fontId="2" fillId="2" borderId="6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6" xfId="1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vertical="top" wrapText="1"/>
    </xf>
    <xf numFmtId="0" fontId="0" fillId="0" borderId="11" xfId="0" applyBorder="1" applyAlignment="1">
      <alignment horizontal="center"/>
    </xf>
    <xf numFmtId="0" fontId="0" fillId="2" borderId="12" xfId="0" applyFill="1" applyBorder="1" applyAlignment="1">
      <alignment vertical="top" wrapText="1"/>
    </xf>
    <xf numFmtId="0" fontId="0" fillId="0" borderId="0" xfId="0" applyAlignment="1">
      <alignment horizontal="center"/>
    </xf>
    <xf numFmtId="0" fontId="0" fillId="3" borderId="1" xfId="0" applyFill="1" applyBorder="1"/>
    <xf numFmtId="44" fontId="0" fillId="3" borderId="1" xfId="1" applyFont="1" applyFill="1" applyBorder="1"/>
    <xf numFmtId="165" fontId="0" fillId="0" borderId="0" xfId="2" applyNumberFormat="1" applyFont="1" applyAlignment="1">
      <alignment horizontal="center"/>
    </xf>
    <xf numFmtId="0" fontId="0" fillId="0" borderId="1" xfId="0" applyBorder="1" applyAlignment="1">
      <alignment horizontal="center"/>
    </xf>
    <xf numFmtId="44" fontId="0" fillId="4" borderId="1" xfId="1" applyFont="1" applyFill="1" applyBorder="1"/>
    <xf numFmtId="44" fontId="0" fillId="5" borderId="1" xfId="1" applyFont="1" applyFill="1" applyBorder="1"/>
    <xf numFmtId="44" fontId="0" fillId="7" borderId="1" xfId="1" applyFont="1" applyFill="1" applyBorder="1"/>
    <xf numFmtId="44" fontId="6" fillId="0" borderId="1" xfId="0" applyNumberFormat="1" applyFont="1" applyBorder="1"/>
    <xf numFmtId="44" fontId="6" fillId="6" borderId="1" xfId="1" applyFont="1" applyFill="1" applyBorder="1"/>
    <xf numFmtId="44" fontId="6" fillId="6" borderId="1" xfId="0" applyNumberFormat="1" applyFont="1" applyFill="1" applyBorder="1"/>
    <xf numFmtId="44" fontId="0" fillId="8" borderId="1" xfId="1" applyFont="1" applyFill="1" applyBorder="1"/>
    <xf numFmtId="44" fontId="6" fillId="0" borderId="1" xfId="1" applyFont="1" applyBorder="1"/>
    <xf numFmtId="0" fontId="2" fillId="8" borderId="1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horizontal="center" vertical="center" wrapText="1"/>
    </xf>
    <xf numFmtId="44" fontId="2" fillId="8" borderId="1" xfId="1" applyFont="1" applyFill="1" applyBorder="1" applyAlignment="1">
      <alignment horizontal="center" vertical="center" wrapText="1"/>
    </xf>
    <xf numFmtId="44" fontId="0" fillId="8" borderId="1" xfId="1" applyFont="1" applyFill="1" applyBorder="1" applyAlignment="1">
      <alignment horizontal="center" vertical="center"/>
    </xf>
    <xf numFmtId="6" fontId="2" fillId="8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44" fontId="2" fillId="4" borderId="1" xfId="1" applyFont="1" applyFill="1" applyBorder="1" applyAlignment="1">
      <alignment horizontal="center" vertical="center" wrapText="1"/>
    </xf>
    <xf numFmtId="0" fontId="2" fillId="4" borderId="1" xfId="0" quotePrefix="1" applyFont="1" applyFill="1" applyBorder="1" applyAlignment="1">
      <alignment vertical="center" wrapText="1"/>
    </xf>
    <xf numFmtId="1" fontId="2" fillId="4" borderId="1" xfId="1" applyNumberFormat="1" applyFont="1" applyFill="1" applyBorder="1" applyAlignment="1">
      <alignment horizontal="right" vertical="center" wrapText="1"/>
    </xf>
    <xf numFmtId="1" fontId="0" fillId="4" borderId="1" xfId="0" applyNumberFormat="1" applyFill="1" applyBorder="1" applyAlignment="1">
      <alignment horizontal="right"/>
    </xf>
    <xf numFmtId="0" fontId="2" fillId="5" borderId="1" xfId="0" applyFont="1" applyFill="1" applyBorder="1" applyAlignment="1">
      <alignment vertical="center" wrapText="1"/>
    </xf>
    <xf numFmtId="1" fontId="0" fillId="5" borderId="1" xfId="0" applyNumberFormat="1" applyFill="1" applyBorder="1" applyAlignment="1">
      <alignment horizontal="right"/>
    </xf>
    <xf numFmtId="0" fontId="2" fillId="5" borderId="1" xfId="0" quotePrefix="1" applyFont="1" applyFill="1" applyBorder="1" applyAlignment="1">
      <alignment vertical="center" wrapText="1"/>
    </xf>
    <xf numFmtId="0" fontId="0" fillId="0" borderId="0" xfId="0" applyFill="1" applyBorder="1"/>
    <xf numFmtId="44" fontId="0" fillId="0" borderId="0" xfId="1" applyFont="1" applyFill="1" applyBorder="1"/>
    <xf numFmtId="0" fontId="0" fillId="0" borderId="0" xfId="0" applyFill="1"/>
    <xf numFmtId="0" fontId="0" fillId="8" borderId="1" xfId="0" applyFill="1" applyBorder="1"/>
    <xf numFmtId="0" fontId="0" fillId="9" borderId="1" xfId="0" applyFill="1" applyBorder="1"/>
    <xf numFmtId="0" fontId="6" fillId="9" borderId="1" xfId="0" applyFont="1" applyFill="1" applyBorder="1"/>
    <xf numFmtId="44" fontId="0" fillId="9" borderId="1" xfId="1" applyFont="1" applyFill="1" applyBorder="1"/>
    <xf numFmtId="166" fontId="0" fillId="0" borderId="0" xfId="0" applyNumberFormat="1"/>
    <xf numFmtId="44" fontId="6" fillId="10" borderId="1" xfId="0" applyNumberFormat="1" applyFont="1" applyFill="1" applyBorder="1"/>
    <xf numFmtId="0" fontId="6" fillId="0" borderId="1" xfId="0" applyFont="1" applyBorder="1" applyAlignment="1">
      <alignment horizontal="center"/>
    </xf>
    <xf numFmtId="44" fontId="0" fillId="10" borderId="1" xfId="1" applyFont="1" applyFill="1" applyBorder="1"/>
    <xf numFmtId="44" fontId="6" fillId="3" borderId="1" xfId="1" applyFont="1" applyFill="1" applyBorder="1"/>
    <xf numFmtId="0" fontId="0" fillId="10" borderId="1" xfId="0" applyFill="1" applyBorder="1"/>
    <xf numFmtId="44" fontId="0" fillId="10" borderId="1" xfId="0" applyNumberFormat="1" applyFill="1" applyBorder="1"/>
    <xf numFmtId="44" fontId="7" fillId="0" borderId="1" xfId="1" applyFont="1" applyBorder="1"/>
    <xf numFmtId="44" fontId="7" fillId="3" borderId="1" xfId="1" applyFont="1" applyFill="1" applyBorder="1"/>
    <xf numFmtId="44" fontId="0" fillId="3" borderId="1" xfId="0" applyNumberFormat="1" applyFill="1" applyBorder="1"/>
    <xf numFmtId="0" fontId="0" fillId="3" borderId="0" xfId="0" applyFill="1"/>
    <xf numFmtId="164" fontId="3" fillId="8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1" fontId="0" fillId="3" borderId="1" xfId="0" applyNumberFormat="1" applyFill="1" applyBorder="1" applyAlignment="1">
      <alignment horizontal="right"/>
    </xf>
    <xf numFmtId="0" fontId="2" fillId="3" borderId="1" xfId="0" quotePrefix="1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11" borderId="0" xfId="0" applyFill="1" applyAlignment="1">
      <alignment horizontal="center"/>
    </xf>
    <xf numFmtId="0" fontId="0" fillId="0" borderId="0" xfId="0" applyBorder="1"/>
    <xf numFmtId="44" fontId="0" fillId="0" borderId="0" xfId="1" applyFont="1" applyBorder="1"/>
    <xf numFmtId="44" fontId="6" fillId="0" borderId="0" xfId="1" applyFont="1" applyFill="1" applyBorder="1"/>
    <xf numFmtId="0" fontId="0" fillId="12" borderId="1" xfId="0" applyFill="1" applyBorder="1"/>
    <xf numFmtId="44" fontId="0" fillId="12" borderId="1" xfId="1" applyFont="1" applyFill="1" applyBorder="1"/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44" fontId="0" fillId="0" borderId="13" xfId="1" applyFont="1" applyBorder="1" applyAlignment="1">
      <alignment horizontal="center"/>
    </xf>
    <xf numFmtId="44" fontId="0" fillId="0" borderId="14" xfId="1" applyFont="1" applyBorder="1" applyAlignment="1">
      <alignment horizontal="center"/>
    </xf>
    <xf numFmtId="44" fontId="0" fillId="0" borderId="15" xfId="1" applyFont="1" applyBorder="1" applyAlignment="1">
      <alignment horizontal="center"/>
    </xf>
    <xf numFmtId="44" fontId="0" fillId="0" borderId="16" xfId="1" applyFont="1" applyBorder="1" applyAlignment="1">
      <alignment horizontal="center"/>
    </xf>
    <xf numFmtId="44" fontId="0" fillId="0" borderId="17" xfId="1" applyFont="1" applyBorder="1" applyAlignment="1">
      <alignment horizontal="center"/>
    </xf>
    <xf numFmtId="44" fontId="0" fillId="0" borderId="18" xfId="1" applyFont="1" applyBorder="1" applyAlignment="1">
      <alignment horizontal="center"/>
    </xf>
    <xf numFmtId="0" fontId="2" fillId="8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" fontId="2" fillId="2" borderId="9" xfId="1" applyNumberFormat="1" applyFont="1" applyFill="1" applyBorder="1" applyAlignment="1">
      <alignment horizontal="center" vertical="center" wrapText="1"/>
    </xf>
    <xf numFmtId="1" fontId="2" fillId="2" borderId="10" xfId="1" applyNumberFormat="1" applyFont="1" applyFill="1" applyBorder="1" applyAlignment="1">
      <alignment horizontal="center" vertical="center" wrapText="1"/>
    </xf>
    <xf numFmtId="1" fontId="2" fillId="2" borderId="9" xfId="0" applyNumberFormat="1" applyFont="1" applyFill="1" applyBorder="1" applyAlignment="1">
      <alignment horizontal="center" vertical="center" wrapText="1"/>
    </xf>
    <xf numFmtId="1" fontId="2" fillId="2" borderId="10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164" fontId="0" fillId="3" borderId="1" xfId="1" applyNumberFormat="1" applyFont="1" applyFill="1" applyBorder="1"/>
    <xf numFmtId="0" fontId="0" fillId="13" borderId="1" xfId="0" applyFill="1" applyBorder="1"/>
    <xf numFmtId="44" fontId="0" fillId="13" borderId="1" xfId="1" applyFont="1" applyFill="1" applyBorder="1"/>
    <xf numFmtId="0" fontId="0" fillId="0" borderId="1" xfId="0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44" fontId="0" fillId="0" borderId="1" xfId="1" applyFont="1" applyFill="1" applyBorder="1"/>
    <xf numFmtId="44" fontId="0" fillId="0" borderId="0" xfId="0" applyNumberFormat="1" applyFill="1"/>
    <xf numFmtId="0" fontId="0" fillId="0" borderId="9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2" fontId="0" fillId="0" borderId="1" xfId="0" applyNumberFormat="1" applyFill="1" applyBorder="1"/>
    <xf numFmtId="44" fontId="6" fillId="0" borderId="0" xfId="0" applyNumberFormat="1" applyFont="1" applyFill="1"/>
    <xf numFmtId="44" fontId="0" fillId="0" borderId="9" xfId="1" applyFont="1" applyFill="1" applyBorder="1"/>
    <xf numFmtId="44" fontId="0" fillId="0" borderId="0" xfId="0" applyNumberFormat="1" applyFill="1" applyBorder="1"/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/>
    <xf numFmtId="44" fontId="6" fillId="0" borderId="1" xfId="0" applyNumberFormat="1" applyFont="1" applyFill="1" applyBorder="1"/>
    <xf numFmtId="2" fontId="6" fillId="0" borderId="1" xfId="0" applyNumberFormat="1" applyFont="1" applyFill="1" applyBorder="1"/>
    <xf numFmtId="44" fontId="6" fillId="0" borderId="1" xfId="1" applyFont="1" applyFill="1" applyBorder="1"/>
    <xf numFmtId="44" fontId="0" fillId="3" borderId="0" xfId="0" applyNumberFormat="1" applyFill="1"/>
    <xf numFmtId="0" fontId="0" fillId="0" borderId="1" xfId="0" applyBorder="1" applyAlignment="1">
      <alignment wrapText="1"/>
    </xf>
    <xf numFmtId="2" fontId="0" fillId="0" borderId="1" xfId="0" applyNumberFormat="1" applyBorder="1"/>
    <xf numFmtId="44" fontId="0" fillId="0" borderId="9" xfId="1" applyFont="1" applyBorder="1"/>
    <xf numFmtId="44" fontId="0" fillId="0" borderId="0" xfId="0" applyNumberFormat="1" applyBorder="1"/>
    <xf numFmtId="0" fontId="0" fillId="0" borderId="0" xfId="0" applyAlignment="1">
      <alignment wrapText="1"/>
    </xf>
    <xf numFmtId="44" fontId="0" fillId="0" borderId="0" xfId="0" applyNumberFormat="1"/>
    <xf numFmtId="2" fontId="0" fillId="0" borderId="0" xfId="0" applyNumberFormat="1"/>
    <xf numFmtId="44" fontId="0" fillId="0" borderId="0" xfId="1" applyFont="1"/>
    <xf numFmtId="9" fontId="0" fillId="0" borderId="1" xfId="0" applyNumberFormat="1" applyFill="1" applyBorder="1"/>
    <xf numFmtId="44" fontId="0" fillId="0" borderId="1" xfId="0" applyNumberFormat="1" applyFill="1" applyBorder="1"/>
    <xf numFmtId="9" fontId="0" fillId="0" borderId="0" xfId="0" applyNumberFormat="1"/>
    <xf numFmtId="1" fontId="6" fillId="0" borderId="1" xfId="0" applyNumberFormat="1" applyFont="1" applyFill="1" applyBorder="1"/>
    <xf numFmtId="1" fontId="0" fillId="0" borderId="0" xfId="0" applyNumberFormat="1"/>
    <xf numFmtId="0" fontId="0" fillId="0" borderId="1" xfId="0" applyBorder="1" applyAlignment="1">
      <alignment horizontal="center" wrapText="1"/>
    </xf>
    <xf numFmtId="164" fontId="0" fillId="0" borderId="0" xfId="1" applyNumberFormat="1" applyFont="1" applyAlignment="1">
      <alignment wrapText="1"/>
    </xf>
    <xf numFmtId="164" fontId="0" fillId="0" borderId="0" xfId="0" applyNumberFormat="1" applyAlignment="1">
      <alignment wrapText="1"/>
    </xf>
    <xf numFmtId="164" fontId="0" fillId="0" borderId="0" xfId="1" applyNumberFormat="1" applyFont="1"/>
    <xf numFmtId="164" fontId="0" fillId="0" borderId="0" xfId="0" applyNumberFormat="1"/>
    <xf numFmtId="164" fontId="0" fillId="0" borderId="1" xfId="0" applyNumberFormat="1" applyBorder="1"/>
    <xf numFmtId="164" fontId="6" fillId="3" borderId="1" xfId="0" applyNumberFormat="1" applyFont="1" applyFill="1" applyBorder="1"/>
    <xf numFmtId="44" fontId="6" fillId="0" borderId="0" xfId="0" applyNumberFormat="1" applyFont="1"/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797560</xdr:colOff>
      <xdr:row>0</xdr:row>
      <xdr:rowOff>101600</xdr:rowOff>
    </xdr:from>
    <xdr:to>
      <xdr:col>5</xdr:col>
      <xdr:colOff>416560</xdr:colOff>
      <xdr:row>2</xdr:row>
      <xdr:rowOff>55880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992880" y="101600"/>
          <a:ext cx="1320800" cy="3200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CF / 11500 =</a:t>
          </a:r>
          <a:r>
            <a:rPr lang="fr-FR" sz="1100" baseline="0"/>
            <a:t>  450</a:t>
          </a:r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518160</xdr:colOff>
      <xdr:row>11</xdr:row>
      <xdr:rowOff>0</xdr:rowOff>
    </xdr:from>
    <xdr:to>
      <xdr:col>8</xdr:col>
      <xdr:colOff>1475232</xdr:colOff>
      <xdr:row>13</xdr:row>
      <xdr:rowOff>30480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6266688" y="2645664"/>
          <a:ext cx="3706368" cy="6766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Charges fixes : 120000 (AN)</a:t>
          </a:r>
        </a:p>
        <a:p>
          <a:r>
            <a:rPr lang="fr-FR" sz="1100"/>
            <a:t>Coef IR : 0,83333</a:t>
          </a:r>
        </a:p>
        <a:p>
          <a:r>
            <a:rPr lang="fr-FR" sz="1100"/>
            <a:t>Charges fixes en IR = 120000 * 0,83333 </a:t>
          </a:r>
          <a:r>
            <a:rPr lang="fr-FR" sz="1100" b="1"/>
            <a:t>= 100000€</a:t>
          </a:r>
        </a:p>
      </xdr:txBody>
    </xdr:sp>
    <xdr:clientData/>
  </xdr:twoCellAnchor>
  <xdr:twoCellAnchor>
    <xdr:from>
      <xdr:col>8</xdr:col>
      <xdr:colOff>1103376</xdr:colOff>
      <xdr:row>2</xdr:row>
      <xdr:rowOff>170688</xdr:rowOff>
    </xdr:from>
    <xdr:to>
      <xdr:col>9</xdr:col>
      <xdr:colOff>213360</xdr:colOff>
      <xdr:row>5</xdr:row>
      <xdr:rowOff>219456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9601200" y="536448"/>
          <a:ext cx="664464" cy="71932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507492</xdr:colOff>
      <xdr:row>19</xdr:row>
      <xdr:rowOff>160020</xdr:rowOff>
    </xdr:from>
    <xdr:to>
      <xdr:col>7</xdr:col>
      <xdr:colOff>182880</xdr:colOff>
      <xdr:row>23</xdr:row>
      <xdr:rowOff>135636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flipV="1">
          <a:off x="4561332" y="4907280"/>
          <a:ext cx="4354068" cy="106527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815340</xdr:colOff>
      <xdr:row>6</xdr:row>
      <xdr:rowOff>182880</xdr:rowOff>
    </xdr:from>
    <xdr:to>
      <xdr:col>7</xdr:col>
      <xdr:colOff>205740</xdr:colOff>
      <xdr:row>9</xdr:row>
      <xdr:rowOff>182880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30D4771C-7B47-41B4-8A28-D721E6E5C027}"/>
            </a:ext>
          </a:extLst>
        </xdr:cNvPr>
        <xdr:cNvCxnSpPr/>
      </xdr:nvCxnSpPr>
      <xdr:spPr>
        <a:xfrm flipV="1">
          <a:off x="4869180" y="1554480"/>
          <a:ext cx="4069080" cy="914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showGridLines="0" tabSelected="1" zoomScale="184" zoomScaleNormal="184" workbookViewId="0">
      <selection activeCell="L7" sqref="L7"/>
    </sheetView>
  </sheetViews>
  <sheetFormatPr baseColWidth="10" defaultRowHeight="15" x14ac:dyDescent="0.25"/>
  <cols>
    <col min="1" max="1" width="20.140625" customWidth="1"/>
    <col min="4" max="4" width="15.85546875" customWidth="1"/>
    <col min="5" max="5" width="7.5703125" customWidth="1"/>
    <col min="6" max="6" width="19" customWidth="1"/>
    <col min="9" max="9" width="12.7109375" bestFit="1" customWidth="1"/>
  </cols>
  <sheetData>
    <row r="1" spans="1:9" x14ac:dyDescent="0.25">
      <c r="A1" s="80" t="s">
        <v>61</v>
      </c>
      <c r="B1" s="80"/>
      <c r="C1" s="80"/>
      <c r="D1" s="80"/>
      <c r="F1" s="80" t="s">
        <v>62</v>
      </c>
      <c r="G1" s="80"/>
      <c r="H1" s="80"/>
      <c r="I1" s="80"/>
    </row>
    <row r="3" spans="1:9" x14ac:dyDescent="0.25">
      <c r="A3" s="1"/>
      <c r="B3" s="5" t="s">
        <v>59</v>
      </c>
      <c r="C3" s="5" t="s">
        <v>0</v>
      </c>
      <c r="D3" s="5" t="s">
        <v>60</v>
      </c>
      <c r="F3" s="1"/>
      <c r="G3" s="5" t="s">
        <v>59</v>
      </c>
      <c r="H3" s="5" t="s">
        <v>0</v>
      </c>
      <c r="I3" s="5" t="s">
        <v>60</v>
      </c>
    </row>
    <row r="4" spans="1:9" x14ac:dyDescent="0.25">
      <c r="A4" s="1" t="s">
        <v>19</v>
      </c>
      <c r="B4" s="1">
        <v>180</v>
      </c>
      <c r="C4" s="3">
        <v>300</v>
      </c>
      <c r="D4" s="3">
        <f>B4*C4</f>
        <v>54000</v>
      </c>
      <c r="F4" s="1" t="s">
        <v>19</v>
      </c>
      <c r="G4" s="1">
        <v>210</v>
      </c>
      <c r="H4" s="3">
        <v>300</v>
      </c>
      <c r="I4" s="3">
        <f>G4*H4</f>
        <v>63000</v>
      </c>
    </row>
    <row r="5" spans="1:9" x14ac:dyDescent="0.25">
      <c r="A5" s="1" t="s">
        <v>56</v>
      </c>
      <c r="B5" s="1">
        <f>B4</f>
        <v>180</v>
      </c>
      <c r="C5" s="3">
        <v>230</v>
      </c>
      <c r="D5" s="3">
        <f>B5*C5</f>
        <v>41400</v>
      </c>
      <c r="F5" s="1" t="s">
        <v>56</v>
      </c>
      <c r="G5" s="1">
        <f>G4</f>
        <v>210</v>
      </c>
      <c r="H5" s="3">
        <v>230</v>
      </c>
      <c r="I5" s="3">
        <f>G5*H5</f>
        <v>48300</v>
      </c>
    </row>
    <row r="6" spans="1:9" x14ac:dyDescent="0.25">
      <c r="A6" s="1" t="s">
        <v>57</v>
      </c>
      <c r="B6" s="1"/>
      <c r="C6" s="1"/>
      <c r="D6" s="3">
        <v>10000</v>
      </c>
      <c r="F6" s="1" t="s">
        <v>57</v>
      </c>
      <c r="G6" s="1"/>
      <c r="H6" s="1"/>
      <c r="I6" s="3">
        <v>10000</v>
      </c>
    </row>
    <row r="7" spans="1:9" x14ac:dyDescent="0.25">
      <c r="A7" s="25" t="str">
        <f>A21</f>
        <v>COUT DE REVIENT</v>
      </c>
      <c r="B7" s="25">
        <f>B5</f>
        <v>180</v>
      </c>
      <c r="C7" s="26">
        <f>D7/B7</f>
        <v>285.55555555555554</v>
      </c>
      <c r="D7" s="35">
        <f>D5+D6</f>
        <v>51400</v>
      </c>
      <c r="F7" s="25" t="str">
        <f>A7</f>
        <v>COUT DE REVIENT</v>
      </c>
      <c r="G7" s="25">
        <f>G5</f>
        <v>210</v>
      </c>
      <c r="H7" s="26">
        <f>I7/G7</f>
        <v>277.61904761904759</v>
      </c>
      <c r="I7" s="26">
        <f>I5+I6</f>
        <v>58300</v>
      </c>
    </row>
    <row r="8" spans="1:9" x14ac:dyDescent="0.25">
      <c r="A8" s="25" t="s">
        <v>58</v>
      </c>
      <c r="B8" s="25">
        <f>B5</f>
        <v>180</v>
      </c>
      <c r="C8" s="26">
        <f>D8/B8</f>
        <v>14.444444444444445</v>
      </c>
      <c r="D8" s="26">
        <f>D4-D5-D6</f>
        <v>2600</v>
      </c>
      <c r="F8" s="25" t="s">
        <v>58</v>
      </c>
      <c r="G8" s="25">
        <f>G7</f>
        <v>210</v>
      </c>
      <c r="H8" s="26">
        <f>I8/G8</f>
        <v>22.38095238095238</v>
      </c>
      <c r="I8" s="26">
        <f>I4-I5-I6</f>
        <v>4700</v>
      </c>
    </row>
    <row r="9" spans="1:9" x14ac:dyDescent="0.25">
      <c r="A9" s="51"/>
      <c r="B9" s="51"/>
      <c r="C9" s="52"/>
      <c r="D9" s="51"/>
      <c r="E9" s="53"/>
      <c r="F9" s="51"/>
      <c r="G9" s="51"/>
      <c r="H9" s="52"/>
      <c r="I9" s="51"/>
    </row>
    <row r="10" spans="1:9" x14ac:dyDescent="0.25">
      <c r="A10" s="51"/>
      <c r="B10" s="51"/>
      <c r="C10" s="52"/>
      <c r="D10" s="51"/>
      <c r="E10" s="53"/>
      <c r="F10" s="51"/>
      <c r="G10" s="51"/>
      <c r="H10" s="52"/>
      <c r="I10" s="51"/>
    </row>
    <row r="11" spans="1:9" x14ac:dyDescent="0.25">
      <c r="A11" s="51"/>
      <c r="B11" s="51"/>
      <c r="C11" s="52"/>
      <c r="D11" s="51"/>
      <c r="E11" s="53"/>
      <c r="F11" s="51"/>
      <c r="G11" s="51"/>
      <c r="H11" s="52"/>
      <c r="I11" s="51"/>
    </row>
    <row r="12" spans="1:9" x14ac:dyDescent="0.25">
      <c r="A12" s="80" t="s">
        <v>63</v>
      </c>
      <c r="B12" s="80"/>
      <c r="C12" s="80"/>
      <c r="D12" s="80"/>
      <c r="F12" s="80" t="s">
        <v>68</v>
      </c>
      <c r="G12" s="80"/>
      <c r="H12" s="80"/>
      <c r="I12" s="80"/>
    </row>
    <row r="13" spans="1:9" x14ac:dyDescent="0.25">
      <c r="A13" s="24" t="s">
        <v>64</v>
      </c>
      <c r="B13" s="24">
        <v>600</v>
      </c>
      <c r="C13" s="24"/>
      <c r="D13" s="24"/>
      <c r="F13" s="24" t="s">
        <v>64</v>
      </c>
      <c r="G13" s="24">
        <v>600</v>
      </c>
      <c r="H13" s="24"/>
      <c r="I13" s="24"/>
    </row>
    <row r="14" spans="1:9" x14ac:dyDescent="0.25">
      <c r="A14" s="24" t="s">
        <v>65</v>
      </c>
      <c r="B14" s="24">
        <v>535</v>
      </c>
      <c r="C14" s="24"/>
      <c r="D14" s="24"/>
      <c r="F14" s="24" t="s">
        <v>65</v>
      </c>
      <c r="G14" s="24">
        <v>641</v>
      </c>
      <c r="H14" s="24"/>
      <c r="I14" s="24"/>
    </row>
    <row r="15" spans="1:9" x14ac:dyDescent="0.25">
      <c r="A15" t="s">
        <v>66</v>
      </c>
      <c r="B15" s="24">
        <f>B14/B13</f>
        <v>0.89166666666666672</v>
      </c>
      <c r="F15" t="s">
        <v>66</v>
      </c>
      <c r="G15" s="24">
        <f>G14/G13</f>
        <v>1.0683333333333334</v>
      </c>
    </row>
    <row r="17" spans="1:9" x14ac:dyDescent="0.25">
      <c r="A17" s="1"/>
      <c r="B17" s="5" t="s">
        <v>59</v>
      </c>
      <c r="C17" s="5" t="s">
        <v>0</v>
      </c>
      <c r="D17" s="5" t="s">
        <v>60</v>
      </c>
      <c r="F17" s="1"/>
      <c r="G17" s="5" t="s">
        <v>59</v>
      </c>
      <c r="H17" s="5" t="s">
        <v>0</v>
      </c>
      <c r="I17" s="5" t="s">
        <v>60</v>
      </c>
    </row>
    <row r="18" spans="1:9" x14ac:dyDescent="0.25">
      <c r="A18" s="1" t="s">
        <v>19</v>
      </c>
      <c r="B18" s="1">
        <v>180</v>
      </c>
      <c r="C18" s="3">
        <v>300</v>
      </c>
      <c r="D18" s="3">
        <f>B18*C18</f>
        <v>54000</v>
      </c>
      <c r="F18" s="1" t="s">
        <v>19</v>
      </c>
      <c r="G18" s="1">
        <v>210</v>
      </c>
      <c r="H18" s="1">
        <v>300</v>
      </c>
      <c r="I18" s="3">
        <f>G18*H18</f>
        <v>63000</v>
      </c>
    </row>
    <row r="19" spans="1:9" x14ac:dyDescent="0.25">
      <c r="A19" s="1" t="s">
        <v>56</v>
      </c>
      <c r="B19" s="1">
        <f>B18</f>
        <v>180</v>
      </c>
      <c r="C19" s="3">
        <v>230</v>
      </c>
      <c r="D19" s="3">
        <f>B19*C19</f>
        <v>41400</v>
      </c>
      <c r="F19" s="1" t="s">
        <v>56</v>
      </c>
      <c r="G19" s="1">
        <f>G18</f>
        <v>210</v>
      </c>
      <c r="H19" s="1">
        <v>230</v>
      </c>
      <c r="I19" s="3">
        <f>G19*H19</f>
        <v>48300</v>
      </c>
    </row>
    <row r="20" spans="1:9" x14ac:dyDescent="0.25">
      <c r="A20" s="1" t="s">
        <v>67</v>
      </c>
      <c r="B20" s="1"/>
      <c r="C20" s="4"/>
      <c r="D20" s="3">
        <f>D6*B15</f>
        <v>8916.6666666666679</v>
      </c>
      <c r="F20" s="1" t="s">
        <v>67</v>
      </c>
      <c r="G20" s="1"/>
      <c r="H20" s="4"/>
      <c r="I20" s="3">
        <f>I6*G15</f>
        <v>10683.333333333334</v>
      </c>
    </row>
    <row r="21" spans="1:9" x14ac:dyDescent="0.25">
      <c r="A21" s="25" t="s">
        <v>69</v>
      </c>
      <c r="B21" s="25">
        <f>B19</f>
        <v>180</v>
      </c>
      <c r="C21" s="26">
        <f>D21/B21</f>
        <v>279.53703703703707</v>
      </c>
      <c r="D21" s="35">
        <f>D19+D20</f>
        <v>50316.666666666672</v>
      </c>
      <c r="F21" s="25" t="str">
        <f>A21</f>
        <v>COUT DE REVIENT</v>
      </c>
      <c r="G21" s="25">
        <f>G19</f>
        <v>210</v>
      </c>
      <c r="H21" s="26">
        <f>I21/G21</f>
        <v>280.8730158730159</v>
      </c>
      <c r="I21" s="26">
        <f>I19+I20</f>
        <v>58983.333333333336</v>
      </c>
    </row>
    <row r="22" spans="1:9" x14ac:dyDescent="0.25">
      <c r="A22" s="25" t="s">
        <v>58</v>
      </c>
      <c r="B22" s="25">
        <v>180</v>
      </c>
      <c r="C22" s="26">
        <f>D22/B22</f>
        <v>20.462962962962955</v>
      </c>
      <c r="D22" s="26">
        <f>D18-D19-D20</f>
        <v>3683.3333333333321</v>
      </c>
      <c r="F22" s="25" t="s">
        <v>58</v>
      </c>
      <c r="G22" s="25">
        <f>G21</f>
        <v>210</v>
      </c>
      <c r="H22" s="26">
        <f>I22/G22</f>
        <v>19.126984126984123</v>
      </c>
      <c r="I22" s="26">
        <f>I18-I19-I20</f>
        <v>4016.6666666666661</v>
      </c>
    </row>
    <row r="23" spans="1:9" x14ac:dyDescent="0.25">
      <c r="A23" s="81" t="s">
        <v>79</v>
      </c>
      <c r="B23" s="81"/>
      <c r="C23" s="81"/>
      <c r="D23" s="4">
        <f>10000-D20</f>
        <v>1083.3333333333321</v>
      </c>
      <c r="F23" s="81" t="s">
        <v>78</v>
      </c>
      <c r="G23" s="81"/>
      <c r="H23" s="81"/>
      <c r="I23" s="3">
        <f>10000-I20</f>
        <v>-683.33333333333394</v>
      </c>
    </row>
  </sheetData>
  <mergeCells count="6">
    <mergeCell ref="A1:D1"/>
    <mergeCell ref="F1:I1"/>
    <mergeCell ref="A12:D12"/>
    <mergeCell ref="F12:I12"/>
    <mergeCell ref="A23:C23"/>
    <mergeCell ref="F23:H23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I30"/>
  <sheetViews>
    <sheetView showGridLines="0" zoomScale="150" zoomScaleNormal="150" workbookViewId="0">
      <selection activeCell="I30" sqref="I30"/>
    </sheetView>
  </sheetViews>
  <sheetFormatPr baseColWidth="10" defaultRowHeight="15" x14ac:dyDescent="0.25"/>
  <cols>
    <col min="1" max="1" width="17.85546875" customWidth="1"/>
    <col min="3" max="3" width="17.140625" customWidth="1"/>
    <col min="4" max="4" width="23.28515625" customWidth="1"/>
    <col min="5" max="5" width="1.5703125" customWidth="1"/>
    <col min="6" max="6" width="20.7109375" customWidth="1"/>
    <col min="9" max="9" width="20" customWidth="1"/>
  </cols>
  <sheetData>
    <row r="3" spans="1:9" x14ac:dyDescent="0.25">
      <c r="A3" s="80" t="s">
        <v>82</v>
      </c>
      <c r="B3" s="80"/>
      <c r="C3" s="80"/>
      <c r="D3" s="80"/>
      <c r="F3" s="80" t="s">
        <v>63</v>
      </c>
      <c r="G3" s="80"/>
      <c r="H3" s="80"/>
      <c r="I3" s="80"/>
    </row>
    <row r="4" spans="1:9" x14ac:dyDescent="0.25">
      <c r="F4" s="24"/>
      <c r="G4" s="24"/>
      <c r="H4" s="24"/>
      <c r="I4" s="24"/>
    </row>
    <row r="5" spans="1:9" x14ac:dyDescent="0.25">
      <c r="A5" s="1"/>
      <c r="B5" s="5" t="s">
        <v>59</v>
      </c>
      <c r="C5" s="5" t="s">
        <v>0</v>
      </c>
      <c r="D5" s="5" t="s">
        <v>60</v>
      </c>
      <c r="F5" s="74" t="s">
        <v>64</v>
      </c>
      <c r="G5" s="74">
        <v>11500</v>
      </c>
      <c r="H5" s="24"/>
      <c r="I5" s="24"/>
    </row>
    <row r="6" spans="1:9" x14ac:dyDescent="0.25">
      <c r="A6" s="1" t="s">
        <v>19</v>
      </c>
      <c r="B6" s="1">
        <v>11500</v>
      </c>
      <c r="C6" s="3">
        <v>1500</v>
      </c>
      <c r="D6" s="3">
        <f>B6*C6</f>
        <v>17250000</v>
      </c>
      <c r="F6" s="74" t="s">
        <v>65</v>
      </c>
      <c r="G6" s="74">
        <v>11500</v>
      </c>
      <c r="H6" s="24"/>
      <c r="I6" s="24"/>
    </row>
    <row r="7" spans="1:9" x14ac:dyDescent="0.25">
      <c r="A7" s="1" t="s">
        <v>56</v>
      </c>
      <c r="B7" s="1">
        <f>B6</f>
        <v>11500</v>
      </c>
      <c r="C7" s="3">
        <f>410+460</f>
        <v>870</v>
      </c>
      <c r="D7" s="3">
        <f>B7*C7</f>
        <v>10005000</v>
      </c>
      <c r="F7" t="s">
        <v>66</v>
      </c>
      <c r="G7" s="24">
        <f>G6/G5</f>
        <v>1</v>
      </c>
    </row>
    <row r="8" spans="1:9" x14ac:dyDescent="0.25">
      <c r="A8" s="1" t="s">
        <v>77</v>
      </c>
      <c r="B8" s="1"/>
      <c r="C8" s="3"/>
      <c r="D8" s="3">
        <f>450*11500</f>
        <v>5175000</v>
      </c>
    </row>
    <row r="9" spans="1:9" x14ac:dyDescent="0.25">
      <c r="A9" s="25" t="s">
        <v>69</v>
      </c>
      <c r="B9" s="25">
        <f>B7</f>
        <v>11500</v>
      </c>
      <c r="C9" s="62">
        <f>D9/B9</f>
        <v>1320</v>
      </c>
      <c r="D9" s="26">
        <f>D7+D8</f>
        <v>15180000</v>
      </c>
      <c r="F9" s="1"/>
      <c r="G9" s="5" t="s">
        <v>59</v>
      </c>
      <c r="H9" s="5" t="s">
        <v>0</v>
      </c>
      <c r="I9" s="5" t="s">
        <v>60</v>
      </c>
    </row>
    <row r="10" spans="1:9" x14ac:dyDescent="0.25">
      <c r="A10" s="25" t="s">
        <v>58</v>
      </c>
      <c r="B10" s="25">
        <f>B7</f>
        <v>11500</v>
      </c>
      <c r="C10" s="26">
        <f>D10/B10</f>
        <v>180</v>
      </c>
      <c r="D10" s="26">
        <f>D6-D7-D8</f>
        <v>2070000</v>
      </c>
      <c r="F10" s="1" t="s">
        <v>19</v>
      </c>
      <c r="G10" s="1">
        <v>11500</v>
      </c>
      <c r="H10" s="4">
        <f>+C6</f>
        <v>1500</v>
      </c>
      <c r="I10" s="3">
        <f>G10*H10</f>
        <v>17250000</v>
      </c>
    </row>
    <row r="11" spans="1:9" x14ac:dyDescent="0.25">
      <c r="F11" s="1" t="s">
        <v>56</v>
      </c>
      <c r="G11" s="1">
        <f>G10</f>
        <v>11500</v>
      </c>
      <c r="H11" s="4">
        <f>+C7</f>
        <v>870</v>
      </c>
      <c r="I11" s="3">
        <f>G11*H11</f>
        <v>10005000</v>
      </c>
    </row>
    <row r="12" spans="1:9" x14ac:dyDescent="0.25">
      <c r="F12" s="1" t="s">
        <v>67</v>
      </c>
      <c r="G12" s="1"/>
      <c r="H12" s="1"/>
      <c r="I12" s="3">
        <f>+D8*G7</f>
        <v>5175000</v>
      </c>
    </row>
    <row r="13" spans="1:9" x14ac:dyDescent="0.25">
      <c r="F13" s="25" t="s">
        <v>69</v>
      </c>
      <c r="G13" s="25">
        <f>G11</f>
        <v>11500</v>
      </c>
      <c r="H13" s="62">
        <f>I13/G13</f>
        <v>1320</v>
      </c>
      <c r="I13" s="26">
        <f>I11+I12</f>
        <v>15180000</v>
      </c>
    </row>
    <row r="14" spans="1:9" x14ac:dyDescent="0.25">
      <c r="F14" s="25" t="s">
        <v>58</v>
      </c>
      <c r="G14" s="25">
        <f>+G13</f>
        <v>11500</v>
      </c>
      <c r="H14" s="26">
        <f>I14/G14</f>
        <v>180</v>
      </c>
      <c r="I14" s="26">
        <f>I10-I11-I12</f>
        <v>2070000</v>
      </c>
    </row>
    <row r="18" spans="1:9" x14ac:dyDescent="0.25">
      <c r="A18" s="80" t="s">
        <v>70</v>
      </c>
      <c r="B18" s="80"/>
      <c r="C18" s="80"/>
      <c r="D18" s="80"/>
      <c r="F18" s="80" t="s">
        <v>71</v>
      </c>
      <c r="G18" s="80"/>
      <c r="H18" s="80"/>
      <c r="I18" s="80"/>
    </row>
    <row r="19" spans="1:9" x14ac:dyDescent="0.25">
      <c r="F19" s="24"/>
      <c r="G19" s="24"/>
      <c r="H19" s="24"/>
      <c r="I19" s="24"/>
    </row>
    <row r="20" spans="1:9" x14ac:dyDescent="0.25">
      <c r="A20" s="1"/>
      <c r="B20" s="5" t="s">
        <v>59</v>
      </c>
      <c r="C20" s="5" t="s">
        <v>0</v>
      </c>
      <c r="D20" s="5" t="s">
        <v>60</v>
      </c>
      <c r="F20" s="24" t="s">
        <v>64</v>
      </c>
      <c r="G20" s="24">
        <v>11500</v>
      </c>
      <c r="H20" s="24"/>
      <c r="I20" s="24"/>
    </row>
    <row r="21" spans="1:9" x14ac:dyDescent="0.25">
      <c r="A21" s="1" t="s">
        <v>19</v>
      </c>
      <c r="B21" s="1">
        <v>8000</v>
      </c>
      <c r="C21" s="3">
        <v>1500</v>
      </c>
      <c r="D21" s="3">
        <f>B21*C21</f>
        <v>12000000</v>
      </c>
      <c r="F21" s="24" t="s">
        <v>65</v>
      </c>
      <c r="G21" s="24">
        <v>8000</v>
      </c>
      <c r="H21" s="24"/>
      <c r="I21" s="24"/>
    </row>
    <row r="22" spans="1:9" x14ac:dyDescent="0.25">
      <c r="A22" s="63" t="s">
        <v>56</v>
      </c>
      <c r="B22" s="63">
        <f>B21</f>
        <v>8000</v>
      </c>
      <c r="C22" s="61">
        <f>410+460</f>
        <v>870</v>
      </c>
      <c r="D22" s="61">
        <f>B22*C22</f>
        <v>6960000</v>
      </c>
      <c r="F22" t="s">
        <v>66</v>
      </c>
      <c r="G22" s="27">
        <f>G21/G20</f>
        <v>0.69565217391304346</v>
      </c>
    </row>
    <row r="23" spans="1:9" x14ac:dyDescent="0.25">
      <c r="A23" s="1" t="s">
        <v>57</v>
      </c>
      <c r="B23" s="1"/>
      <c r="C23" s="3"/>
      <c r="D23" s="65">
        <f>450*11500</f>
        <v>5175000</v>
      </c>
    </row>
    <row r="24" spans="1:9" x14ac:dyDescent="0.25">
      <c r="A24" s="25" t="s">
        <v>69</v>
      </c>
      <c r="B24" s="25">
        <f>B22</f>
        <v>8000</v>
      </c>
      <c r="C24" s="26">
        <f>D24/B24</f>
        <v>1516.875</v>
      </c>
      <c r="D24" s="26">
        <f>D22+D23</f>
        <v>12135000</v>
      </c>
      <c r="F24" s="1"/>
      <c r="G24" s="5" t="s">
        <v>59</v>
      </c>
      <c r="H24" s="5" t="s">
        <v>0</v>
      </c>
      <c r="I24" s="5" t="s">
        <v>60</v>
      </c>
    </row>
    <row r="25" spans="1:9" x14ac:dyDescent="0.25">
      <c r="A25" s="25" t="s">
        <v>58</v>
      </c>
      <c r="B25" s="25">
        <f>B22</f>
        <v>8000</v>
      </c>
      <c r="C25" s="26">
        <f>D25/B25</f>
        <v>-16.875</v>
      </c>
      <c r="D25" s="26">
        <f>D21-D22-D23</f>
        <v>-135000</v>
      </c>
      <c r="F25" s="1" t="s">
        <v>19</v>
      </c>
      <c r="G25" s="1">
        <f>+G21</f>
        <v>8000</v>
      </c>
      <c r="H25" s="4">
        <f>+C21</f>
        <v>1500</v>
      </c>
      <c r="I25" s="3">
        <f>G25*H25</f>
        <v>12000000</v>
      </c>
    </row>
    <row r="26" spans="1:9" x14ac:dyDescent="0.25">
      <c r="F26" s="63" t="s">
        <v>56</v>
      </c>
      <c r="G26" s="63">
        <f>G25</f>
        <v>8000</v>
      </c>
      <c r="H26" s="64">
        <f>+C22</f>
        <v>870</v>
      </c>
      <c r="I26" s="61">
        <f>G26*H26</f>
        <v>6960000</v>
      </c>
    </row>
    <row r="27" spans="1:9" x14ac:dyDescent="0.25">
      <c r="F27" s="1" t="s">
        <v>67</v>
      </c>
      <c r="G27" s="1"/>
      <c r="H27" s="1"/>
      <c r="I27" s="3">
        <f>+D23*G22</f>
        <v>3600000</v>
      </c>
    </row>
    <row r="28" spans="1:9" x14ac:dyDescent="0.25">
      <c r="F28" s="25" t="s">
        <v>69</v>
      </c>
      <c r="G28" s="25">
        <f>G26</f>
        <v>8000</v>
      </c>
      <c r="H28" s="66">
        <f>I28/G28</f>
        <v>1320</v>
      </c>
      <c r="I28" s="26">
        <f>I26+I27</f>
        <v>10560000</v>
      </c>
    </row>
    <row r="29" spans="1:9" x14ac:dyDescent="0.25">
      <c r="F29" s="25" t="s">
        <v>58</v>
      </c>
      <c r="G29" s="25">
        <f>+G28</f>
        <v>8000</v>
      </c>
      <c r="H29" s="26">
        <f>I29/G29</f>
        <v>180</v>
      </c>
      <c r="I29" s="26">
        <f>I25-I26-I27</f>
        <v>1440000</v>
      </c>
    </row>
    <row r="30" spans="1:9" x14ac:dyDescent="0.25">
      <c r="F30" s="81" t="s">
        <v>81</v>
      </c>
      <c r="G30" s="81"/>
      <c r="H30" s="81"/>
      <c r="I30" s="4">
        <f>D23-I27</f>
        <v>1575000</v>
      </c>
    </row>
  </sheetData>
  <mergeCells count="5">
    <mergeCell ref="A3:D3"/>
    <mergeCell ref="F3:I3"/>
    <mergeCell ref="A18:D18"/>
    <mergeCell ref="F18:I18"/>
    <mergeCell ref="F30:H30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J24"/>
  <sheetViews>
    <sheetView showGridLines="0" topLeftCell="A7" zoomScale="125" zoomScaleNormal="125" workbookViewId="0">
      <selection activeCell="A27" sqref="A27:XFD31"/>
    </sheetView>
  </sheetViews>
  <sheetFormatPr baseColWidth="10" defaultRowHeight="15" x14ac:dyDescent="0.25"/>
  <cols>
    <col min="1" max="1" width="37.85546875" bestFit="1" customWidth="1"/>
    <col min="3" max="3" width="11.5703125" bestFit="1" customWidth="1"/>
    <col min="4" max="4" width="12.85546875" bestFit="1" customWidth="1"/>
    <col min="5" max="5" width="6.7109375" customWidth="1"/>
    <col min="6" max="6" width="26.7109375" customWidth="1"/>
    <col min="7" max="7" width="23.7109375" customWidth="1"/>
    <col min="8" max="8" width="16.42578125" customWidth="1"/>
    <col min="9" max="9" width="22.7109375" customWidth="1"/>
    <col min="10" max="10" width="16.28515625" customWidth="1"/>
  </cols>
  <sheetData>
    <row r="3" spans="1:10" x14ac:dyDescent="0.25">
      <c r="A3" s="82" t="s">
        <v>7</v>
      </c>
      <c r="B3" s="82"/>
      <c r="C3" s="82"/>
      <c r="D3" s="82"/>
      <c r="G3" s="83" t="s">
        <v>22</v>
      </c>
      <c r="H3" s="83"/>
      <c r="I3" s="83"/>
      <c r="J3" s="83"/>
    </row>
    <row r="4" spans="1:10" x14ac:dyDescent="0.25">
      <c r="A4" s="1"/>
      <c r="B4" s="2" t="s">
        <v>6</v>
      </c>
      <c r="C4" s="2" t="s">
        <v>0</v>
      </c>
      <c r="D4" s="2" t="s">
        <v>5</v>
      </c>
      <c r="G4" s="28" t="s">
        <v>72</v>
      </c>
      <c r="H4" s="1" t="s">
        <v>21</v>
      </c>
      <c r="I4" s="28" t="s">
        <v>73</v>
      </c>
      <c r="J4" s="1" t="s">
        <v>21</v>
      </c>
    </row>
    <row r="5" spans="1:10" ht="24" customHeight="1" x14ac:dyDescent="0.25">
      <c r="A5" s="1" t="s">
        <v>1</v>
      </c>
      <c r="B5" s="1">
        <v>50000</v>
      </c>
      <c r="C5" s="3">
        <v>2</v>
      </c>
      <c r="D5" s="3">
        <f>B5*C5</f>
        <v>100000</v>
      </c>
      <c r="G5" s="1" t="s">
        <v>14</v>
      </c>
      <c r="H5" s="4">
        <f>D5</f>
        <v>100000</v>
      </c>
      <c r="I5" s="1" t="s">
        <v>19</v>
      </c>
      <c r="J5" s="4">
        <f>D9</f>
        <v>240000</v>
      </c>
    </row>
    <row r="6" spans="1:10" ht="24" customHeight="1" x14ac:dyDescent="0.25">
      <c r="A6" s="25" t="s">
        <v>2</v>
      </c>
      <c r="B6" s="25"/>
      <c r="C6" s="26"/>
      <c r="D6" s="26">
        <v>120000</v>
      </c>
      <c r="G6" s="1" t="s">
        <v>15</v>
      </c>
      <c r="H6" s="4">
        <f>D6</f>
        <v>120000</v>
      </c>
      <c r="I6" s="25" t="s">
        <v>84</v>
      </c>
      <c r="J6" s="67">
        <f>10000*4.4</f>
        <v>44000</v>
      </c>
    </row>
    <row r="7" spans="1:10" ht="24" customHeight="1" x14ac:dyDescent="0.25">
      <c r="A7" s="1" t="s">
        <v>10</v>
      </c>
      <c r="B7" s="1">
        <f>B5</f>
        <v>50000</v>
      </c>
      <c r="C7" s="31">
        <f>D7/B7</f>
        <v>4.4000000000000004</v>
      </c>
      <c r="D7" s="3">
        <f>D6+D5</f>
        <v>220000</v>
      </c>
      <c r="G7" s="1" t="s">
        <v>16</v>
      </c>
      <c r="H7" s="34">
        <v>64000</v>
      </c>
      <c r="I7" s="1"/>
      <c r="J7" s="1"/>
    </row>
    <row r="8" spans="1:10" ht="24" customHeight="1" x14ac:dyDescent="0.25">
      <c r="A8" s="55" t="s">
        <v>80</v>
      </c>
      <c r="B8" s="56">
        <v>40000</v>
      </c>
      <c r="C8" s="57">
        <f>C7</f>
        <v>4.4000000000000004</v>
      </c>
      <c r="D8" s="57">
        <f>B8*C8</f>
        <v>176000</v>
      </c>
      <c r="G8" s="1" t="s">
        <v>17</v>
      </c>
      <c r="H8" s="32">
        <f>SUM(H5:H7)</f>
        <v>284000</v>
      </c>
      <c r="I8" s="1" t="s">
        <v>18</v>
      </c>
      <c r="J8" s="32">
        <f>+J6+J5</f>
        <v>284000</v>
      </c>
    </row>
    <row r="9" spans="1:10" ht="24" customHeight="1" x14ac:dyDescent="0.25">
      <c r="A9" s="54" t="s">
        <v>3</v>
      </c>
      <c r="B9" s="54">
        <f>B8</f>
        <v>40000</v>
      </c>
      <c r="C9" s="35">
        <v>6</v>
      </c>
      <c r="D9" s="35">
        <f>B9*C9</f>
        <v>240000</v>
      </c>
    </row>
    <row r="10" spans="1:10" ht="24" customHeight="1" x14ac:dyDescent="0.25">
      <c r="A10" s="1" t="s">
        <v>4</v>
      </c>
      <c r="B10" s="1">
        <f>B9</f>
        <v>40000</v>
      </c>
      <c r="C10" s="3">
        <f>D10/B10</f>
        <v>1.6</v>
      </c>
      <c r="D10" s="33">
        <f>D9-D8</f>
        <v>64000</v>
      </c>
    </row>
    <row r="11" spans="1:10" ht="24" customHeight="1" x14ac:dyDescent="0.25">
      <c r="A11" s="75"/>
      <c r="B11" s="75"/>
      <c r="C11" s="76"/>
      <c r="D11" s="77"/>
    </row>
    <row r="12" spans="1:10" x14ac:dyDescent="0.25">
      <c r="A12" s="68" t="s">
        <v>64</v>
      </c>
      <c r="B12" s="68">
        <v>60000</v>
      </c>
    </row>
    <row r="13" spans="1:10" x14ac:dyDescent="0.25">
      <c r="A13" t="s">
        <v>74</v>
      </c>
      <c r="B13">
        <v>50000</v>
      </c>
    </row>
    <row r="14" spans="1:10" x14ac:dyDescent="0.25">
      <c r="A14" t="s">
        <v>75</v>
      </c>
      <c r="B14" s="58">
        <f>B13/B12</f>
        <v>0.83333333333333337</v>
      </c>
    </row>
    <row r="15" spans="1:10" x14ac:dyDescent="0.25">
      <c r="A15" s="82" t="s">
        <v>8</v>
      </c>
      <c r="B15" s="82"/>
      <c r="C15" s="82"/>
      <c r="D15" s="82"/>
    </row>
    <row r="16" spans="1:10" x14ac:dyDescent="0.25">
      <c r="A16" s="1"/>
      <c r="B16" s="2" t="s">
        <v>6</v>
      </c>
      <c r="C16" s="2" t="s">
        <v>0</v>
      </c>
      <c r="D16" s="2" t="s">
        <v>5</v>
      </c>
      <c r="G16" s="83" t="s">
        <v>23</v>
      </c>
      <c r="H16" s="83"/>
      <c r="I16" s="83"/>
      <c r="J16" s="83"/>
    </row>
    <row r="17" spans="1:10" ht="23.25" customHeight="1" x14ac:dyDescent="0.25">
      <c r="A17" s="1" t="s">
        <v>1</v>
      </c>
      <c r="B17" s="1">
        <v>50000</v>
      </c>
      <c r="C17" s="3">
        <v>2</v>
      </c>
      <c r="D17" s="3">
        <f>B17*C17</f>
        <v>100000</v>
      </c>
      <c r="G17" s="1"/>
      <c r="H17" s="1" t="s">
        <v>21</v>
      </c>
      <c r="I17" s="1"/>
      <c r="J17" s="1" t="s">
        <v>21</v>
      </c>
    </row>
    <row r="18" spans="1:10" ht="23.25" customHeight="1" x14ac:dyDescent="0.25">
      <c r="A18" s="1" t="s">
        <v>9</v>
      </c>
      <c r="B18" s="1"/>
      <c r="C18" s="3"/>
      <c r="D18" s="3">
        <f>120000*B14</f>
        <v>100000</v>
      </c>
      <c r="G18" s="1" t="s">
        <v>14</v>
      </c>
      <c r="H18" s="4">
        <v>100000</v>
      </c>
      <c r="I18" s="1" t="s">
        <v>19</v>
      </c>
      <c r="J18" s="4">
        <f>D21</f>
        <v>240000</v>
      </c>
    </row>
    <row r="19" spans="1:10" ht="24" customHeight="1" x14ac:dyDescent="0.25">
      <c r="A19" s="1" t="s">
        <v>10</v>
      </c>
      <c r="B19" s="1">
        <f>B17</f>
        <v>50000</v>
      </c>
      <c r="C19" s="35">
        <f>D19/B19</f>
        <v>4</v>
      </c>
      <c r="D19" s="3">
        <f>D18+D17</f>
        <v>200000</v>
      </c>
      <c r="G19" s="1" t="s">
        <v>15</v>
      </c>
      <c r="H19" s="4">
        <v>120000</v>
      </c>
      <c r="I19" s="25" t="s">
        <v>20</v>
      </c>
      <c r="J19" s="67">
        <f>10000*4</f>
        <v>40000</v>
      </c>
    </row>
    <row r="20" spans="1:10" ht="24" customHeight="1" x14ac:dyDescent="0.25">
      <c r="A20" s="1" t="s">
        <v>11</v>
      </c>
      <c r="B20" s="1">
        <f>40000</f>
        <v>40000</v>
      </c>
      <c r="C20" s="35">
        <f>C19</f>
        <v>4</v>
      </c>
      <c r="D20" s="3">
        <f>B20*C20</f>
        <v>160000</v>
      </c>
      <c r="G20" s="1" t="s">
        <v>16</v>
      </c>
      <c r="H20" s="59">
        <v>60000</v>
      </c>
      <c r="I20" s="1"/>
      <c r="J20" s="1"/>
    </row>
    <row r="21" spans="1:10" ht="23.25" customHeight="1" x14ac:dyDescent="0.25">
      <c r="A21" s="1" t="s">
        <v>3</v>
      </c>
      <c r="B21" s="1">
        <v>40000</v>
      </c>
      <c r="C21" s="3">
        <v>6</v>
      </c>
      <c r="D21" s="3">
        <f>B21*C21</f>
        <v>240000</v>
      </c>
      <c r="G21" s="1" t="s">
        <v>17</v>
      </c>
      <c r="H21" s="4">
        <f>H18+H19+H20</f>
        <v>280000</v>
      </c>
      <c r="I21" s="1" t="s">
        <v>18</v>
      </c>
      <c r="J21" s="4">
        <f>SUM(J18:J20)</f>
        <v>280000</v>
      </c>
    </row>
    <row r="22" spans="1:10" ht="23.25" customHeight="1" x14ac:dyDescent="0.25">
      <c r="A22" s="78" t="s">
        <v>76</v>
      </c>
      <c r="B22" s="78">
        <f>B21</f>
        <v>40000</v>
      </c>
      <c r="C22" s="79">
        <f>D22/B22</f>
        <v>2</v>
      </c>
      <c r="D22" s="79">
        <f>D21-D20</f>
        <v>80000</v>
      </c>
    </row>
    <row r="23" spans="1:10" x14ac:dyDescent="0.25">
      <c r="A23" s="1" t="s">
        <v>13</v>
      </c>
      <c r="B23" s="1"/>
      <c r="C23" s="1"/>
      <c r="D23" s="3">
        <f>120000-100000</f>
        <v>20000</v>
      </c>
    </row>
    <row r="24" spans="1:10" x14ac:dyDescent="0.25">
      <c r="A24" s="1" t="s">
        <v>12</v>
      </c>
      <c r="B24" s="1">
        <v>40000</v>
      </c>
      <c r="C24" s="1">
        <f>+D24/B24</f>
        <v>1.5</v>
      </c>
      <c r="D24" s="59">
        <f>+D22-D23</f>
        <v>60000</v>
      </c>
    </row>
  </sheetData>
  <mergeCells count="4">
    <mergeCell ref="A3:D3"/>
    <mergeCell ref="A15:D15"/>
    <mergeCell ref="G3:J3"/>
    <mergeCell ref="G16:J16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89420-2131-4088-9DA9-5FC1DA397C3A}">
  <dimension ref="A1:R65"/>
  <sheetViews>
    <sheetView showGridLines="0" topLeftCell="A8" workbookViewId="0">
      <selection activeCell="D78" sqref="D78"/>
    </sheetView>
  </sheetViews>
  <sheetFormatPr baseColWidth="10" defaultRowHeight="15" x14ac:dyDescent="0.25"/>
  <cols>
    <col min="1" max="1" width="7.28515625" customWidth="1"/>
    <col min="2" max="2" width="31.85546875" customWidth="1"/>
    <col min="3" max="3" width="18.42578125" customWidth="1"/>
    <col min="4" max="4" width="14.85546875" bestFit="1" customWidth="1"/>
    <col min="5" max="5" width="14.42578125" bestFit="1" customWidth="1"/>
    <col min="6" max="6" width="10.42578125" customWidth="1"/>
    <col min="8" max="8" width="16.5703125" customWidth="1"/>
    <col min="9" max="9" width="18.140625" customWidth="1"/>
    <col min="10" max="10" width="21.5703125" hidden="1" customWidth="1"/>
    <col min="11" max="11" width="14.28515625" hidden="1" customWidth="1"/>
    <col min="12" max="12" width="12.7109375" hidden="1" customWidth="1"/>
    <col min="13" max="13" width="14.5703125" hidden="1" customWidth="1"/>
    <col min="14" max="14" width="13.28515625" hidden="1" customWidth="1"/>
    <col min="15" max="15" width="10.85546875" hidden="1" customWidth="1"/>
    <col min="16" max="16" width="14.140625" hidden="1" customWidth="1"/>
    <col min="17" max="17" width="0.7109375" customWidth="1"/>
  </cols>
  <sheetData>
    <row r="1" spans="1:18" x14ac:dyDescent="0.25">
      <c r="A1" t="s">
        <v>85</v>
      </c>
    </row>
    <row r="2" spans="1:18" x14ac:dyDescent="0.25">
      <c r="B2" s="1"/>
      <c r="C2" s="1" t="s">
        <v>86</v>
      </c>
      <c r="D2" s="1" t="s">
        <v>26</v>
      </c>
    </row>
    <row r="3" spans="1:18" x14ac:dyDescent="0.25">
      <c r="B3" s="1" t="s">
        <v>87</v>
      </c>
      <c r="C3" s="18">
        <v>520000</v>
      </c>
      <c r="D3" s="18">
        <v>870000</v>
      </c>
    </row>
    <row r="4" spans="1:18" x14ac:dyDescent="0.25">
      <c r="B4" s="1" t="s">
        <v>49</v>
      </c>
      <c r="C4" s="1">
        <v>16200</v>
      </c>
      <c r="D4" s="1">
        <v>5200</v>
      </c>
    </row>
    <row r="5" spans="1:18" x14ac:dyDescent="0.25">
      <c r="B5" s="25" t="s">
        <v>88</v>
      </c>
      <c r="C5" s="26">
        <f>C3/C4</f>
        <v>32.098765432098766</v>
      </c>
      <c r="D5" s="26">
        <f>D3/D4</f>
        <v>167.30769230769232</v>
      </c>
    </row>
    <row r="7" spans="1:18" x14ac:dyDescent="0.25">
      <c r="A7" t="s">
        <v>89</v>
      </c>
    </row>
    <row r="8" spans="1:18" x14ac:dyDescent="0.25">
      <c r="B8" s="1"/>
      <c r="C8" s="73" t="s">
        <v>90</v>
      </c>
      <c r="D8" s="73" t="s">
        <v>91</v>
      </c>
      <c r="E8" s="105" t="s">
        <v>54</v>
      </c>
    </row>
    <row r="9" spans="1:18" x14ac:dyDescent="0.25">
      <c r="B9" s="1" t="s">
        <v>86</v>
      </c>
      <c r="C9" s="3">
        <v>227901.23</v>
      </c>
      <c r="D9" s="3">
        <v>292098.77</v>
      </c>
      <c r="E9" s="106">
        <f>C9+D9</f>
        <v>520000</v>
      </c>
      <c r="F9" t="s">
        <v>92</v>
      </c>
    </row>
    <row r="10" spans="1:18" x14ac:dyDescent="0.25">
      <c r="B10" s="1" t="s">
        <v>26</v>
      </c>
      <c r="C10" s="3">
        <v>535384.62</v>
      </c>
      <c r="D10" s="3">
        <v>334615.38</v>
      </c>
      <c r="E10" s="106">
        <f>C10+D10</f>
        <v>870000</v>
      </c>
      <c r="F10" t="s">
        <v>92</v>
      </c>
    </row>
    <row r="13" spans="1:18" x14ac:dyDescent="0.25">
      <c r="A13" t="s">
        <v>93</v>
      </c>
    </row>
    <row r="14" spans="1:18" x14ac:dyDescent="0.25">
      <c r="B14" s="60" t="s">
        <v>94</v>
      </c>
      <c r="C14" s="60" t="s">
        <v>95</v>
      </c>
      <c r="D14" s="60" t="s">
        <v>26</v>
      </c>
      <c r="E14" s="60" t="s">
        <v>96</v>
      </c>
    </row>
    <row r="15" spans="1:18" x14ac:dyDescent="0.25">
      <c r="B15" s="1" t="s">
        <v>97</v>
      </c>
      <c r="C15" s="18">
        <v>520000</v>
      </c>
      <c r="D15" s="18">
        <v>870000</v>
      </c>
      <c r="E15" s="18">
        <v>292000</v>
      </c>
      <c r="I15" s="83" t="s">
        <v>98</v>
      </c>
      <c r="J15" s="83"/>
      <c r="K15" s="83"/>
      <c r="L15" s="83"/>
      <c r="M15" s="83"/>
      <c r="N15" s="83"/>
      <c r="O15" s="83"/>
      <c r="P15" s="83"/>
      <c r="Q15" s="83"/>
      <c r="R15" s="83"/>
    </row>
    <row r="16" spans="1:18" x14ac:dyDescent="0.25">
      <c r="B16" s="1" t="s">
        <v>15</v>
      </c>
      <c r="C16" s="18">
        <v>320000</v>
      </c>
      <c r="D16" s="18">
        <v>570000</v>
      </c>
      <c r="E16" s="18">
        <v>152000</v>
      </c>
      <c r="I16" s="1">
        <v>3200</v>
      </c>
      <c r="J16" s="1">
        <v>450</v>
      </c>
      <c r="K16" s="1">
        <v>2500</v>
      </c>
      <c r="L16" s="1"/>
      <c r="M16" s="1"/>
      <c r="N16" s="1"/>
      <c r="O16" s="1"/>
      <c r="P16" s="1"/>
      <c r="Q16" s="1"/>
      <c r="R16" s="1" t="s">
        <v>99</v>
      </c>
    </row>
    <row r="17" spans="2:18" x14ac:dyDescent="0.25">
      <c r="B17" s="1" t="s">
        <v>14</v>
      </c>
      <c r="C17" s="18">
        <v>200000</v>
      </c>
      <c r="D17" s="18">
        <v>300000</v>
      </c>
      <c r="E17" s="18">
        <v>140000</v>
      </c>
      <c r="I17" s="1">
        <v>2000</v>
      </c>
      <c r="J17" s="1">
        <v>685</v>
      </c>
      <c r="K17" s="1">
        <v>1800</v>
      </c>
      <c r="L17" s="1"/>
      <c r="M17" s="1"/>
      <c r="N17" s="1"/>
      <c r="O17" s="1"/>
      <c r="P17" s="1"/>
      <c r="Q17" s="1"/>
      <c r="R17" s="1" t="s">
        <v>100</v>
      </c>
    </row>
    <row r="18" spans="2:18" x14ac:dyDescent="0.25">
      <c r="B18" s="1" t="s">
        <v>29</v>
      </c>
      <c r="C18" s="73" t="s">
        <v>101</v>
      </c>
      <c r="D18" s="73" t="s">
        <v>102</v>
      </c>
      <c r="E18" s="73" t="s">
        <v>103</v>
      </c>
    </row>
    <row r="19" spans="2:18" x14ac:dyDescent="0.25">
      <c r="B19" s="1" t="s">
        <v>64</v>
      </c>
      <c r="C19" s="1">
        <v>18000</v>
      </c>
      <c r="D19" s="1">
        <v>5000</v>
      </c>
      <c r="E19" s="1">
        <v>5000</v>
      </c>
    </row>
    <row r="20" spans="2:18" x14ac:dyDescent="0.25">
      <c r="B20" s="1" t="s">
        <v>74</v>
      </c>
      <c r="C20" s="1">
        <v>16200</v>
      </c>
      <c r="D20" s="1">
        <v>5200</v>
      </c>
      <c r="E20" s="1">
        <v>4300</v>
      </c>
    </row>
    <row r="21" spans="2:18" x14ac:dyDescent="0.25">
      <c r="B21" s="1" t="s">
        <v>104</v>
      </c>
      <c r="C21" s="1">
        <f>C20/C19</f>
        <v>0.9</v>
      </c>
      <c r="D21" s="1">
        <f t="shared" ref="D21:E21" si="0">D20/D19</f>
        <v>1.04</v>
      </c>
      <c r="E21" s="1">
        <f t="shared" si="0"/>
        <v>0.86</v>
      </c>
    </row>
    <row r="22" spans="2:18" x14ac:dyDescent="0.25">
      <c r="B22" s="1" t="s">
        <v>105</v>
      </c>
      <c r="C22" s="18">
        <f>C16*C20/C19</f>
        <v>288000</v>
      </c>
      <c r="D22" s="18">
        <f>D16*D20/D19</f>
        <v>592800</v>
      </c>
      <c r="E22" s="18">
        <f t="shared" ref="E22" si="1">E16*E20/E19</f>
        <v>130720</v>
      </c>
    </row>
    <row r="23" spans="2:18" x14ac:dyDescent="0.25">
      <c r="B23" s="1" t="s">
        <v>106</v>
      </c>
      <c r="C23" s="106">
        <f>C16-C22</f>
        <v>32000</v>
      </c>
      <c r="D23" s="18">
        <f t="shared" ref="D23:E23" si="2">D16-D22</f>
        <v>-22800</v>
      </c>
      <c r="E23" s="106">
        <f t="shared" si="2"/>
        <v>21280</v>
      </c>
    </row>
    <row r="24" spans="2:18" x14ac:dyDescent="0.25">
      <c r="B24" s="107" t="s">
        <v>107</v>
      </c>
      <c r="C24" s="108">
        <f>C17/C20</f>
        <v>12.345679012345679</v>
      </c>
      <c r="D24" s="108">
        <f t="shared" ref="D24:E24" si="3">D17/D20</f>
        <v>57.692307692307693</v>
      </c>
      <c r="E24" s="108">
        <f t="shared" si="3"/>
        <v>32.558139534883722</v>
      </c>
    </row>
    <row r="25" spans="2:18" x14ac:dyDescent="0.25">
      <c r="B25" s="107" t="s">
        <v>108</v>
      </c>
      <c r="C25" s="108">
        <f>C22/C20</f>
        <v>17.777777777777779</v>
      </c>
      <c r="D25" s="108">
        <f t="shared" ref="D25:E25" si="4">D22/D20</f>
        <v>114</v>
      </c>
      <c r="E25" s="108">
        <f t="shared" si="4"/>
        <v>30.4</v>
      </c>
    </row>
    <row r="28" spans="2:18" x14ac:dyDescent="0.25">
      <c r="B28" s="109"/>
      <c r="C28" s="110" t="s">
        <v>109</v>
      </c>
      <c r="D28" s="110"/>
      <c r="E28" s="110"/>
      <c r="F28" s="110" t="s">
        <v>110</v>
      </c>
      <c r="G28" s="110"/>
      <c r="H28" s="110"/>
    </row>
    <row r="29" spans="2:18" x14ac:dyDescent="0.25">
      <c r="B29" s="109"/>
      <c r="C29" s="111" t="s">
        <v>59</v>
      </c>
      <c r="D29" s="111" t="s">
        <v>0</v>
      </c>
      <c r="E29" s="111" t="s">
        <v>60</v>
      </c>
      <c r="F29" s="111" t="s">
        <v>59</v>
      </c>
      <c r="G29" s="111" t="s">
        <v>0</v>
      </c>
      <c r="H29" s="111" t="s">
        <v>60</v>
      </c>
      <c r="J29" s="112"/>
      <c r="K29" s="112"/>
      <c r="L29" s="112"/>
      <c r="M29" s="112"/>
      <c r="N29" s="112"/>
      <c r="O29" s="112"/>
      <c r="P29" s="112"/>
      <c r="Q29" s="112"/>
    </row>
    <row r="30" spans="2:18" x14ac:dyDescent="0.25">
      <c r="B30" s="109" t="s">
        <v>25</v>
      </c>
      <c r="C30" s="109">
        <v>7100</v>
      </c>
      <c r="D30" s="109">
        <v>3</v>
      </c>
      <c r="E30" s="113">
        <f>C30*D30</f>
        <v>21300</v>
      </c>
      <c r="F30" s="109">
        <v>9100</v>
      </c>
      <c r="G30" s="109">
        <v>3</v>
      </c>
      <c r="H30" s="113">
        <f>F30*G30</f>
        <v>27300</v>
      </c>
      <c r="I30" s="114"/>
      <c r="J30" s="109"/>
      <c r="K30" s="115"/>
      <c r="L30" s="116"/>
      <c r="M30" s="117"/>
      <c r="N30" s="115"/>
      <c r="O30" s="116"/>
      <c r="P30" s="117"/>
      <c r="Q30" s="53"/>
      <c r="R30" s="53"/>
    </row>
    <row r="31" spans="2:18" x14ac:dyDescent="0.25">
      <c r="B31" s="109" t="s">
        <v>42</v>
      </c>
      <c r="C31" s="109">
        <f>I16*3</f>
        <v>9600</v>
      </c>
      <c r="D31" s="109">
        <v>41</v>
      </c>
      <c r="E31" s="113">
        <f t="shared" ref="E31:E35" si="5">C31*D31</f>
        <v>393600</v>
      </c>
      <c r="F31" s="109">
        <f>I17*7</f>
        <v>14000</v>
      </c>
      <c r="G31" s="109">
        <v>41</v>
      </c>
      <c r="H31" s="113">
        <f t="shared" ref="H31:H35" si="6">F31*G31</f>
        <v>574000</v>
      </c>
      <c r="I31" s="114"/>
      <c r="J31" s="109"/>
      <c r="K31" s="111"/>
      <c r="L31" s="111"/>
      <c r="M31" s="111"/>
      <c r="N31" s="111"/>
      <c r="O31" s="111"/>
      <c r="P31" s="111"/>
      <c r="Q31" s="53"/>
      <c r="R31" s="53"/>
    </row>
    <row r="32" spans="2:18" x14ac:dyDescent="0.25">
      <c r="B32" s="109" t="s">
        <v>111</v>
      </c>
      <c r="C32" s="109">
        <f>C30</f>
        <v>7100</v>
      </c>
      <c r="D32" s="118">
        <f>C25</f>
        <v>17.777777777777779</v>
      </c>
      <c r="E32" s="113">
        <f t="shared" si="5"/>
        <v>126222.22222222223</v>
      </c>
      <c r="F32" s="109">
        <f>F30</f>
        <v>9100</v>
      </c>
      <c r="G32" s="118">
        <f>D32</f>
        <v>17.777777777777779</v>
      </c>
      <c r="H32" s="113">
        <f t="shared" si="6"/>
        <v>161777.77777777778</v>
      </c>
      <c r="I32" s="53"/>
      <c r="J32" s="109"/>
      <c r="K32" s="109"/>
      <c r="L32" s="109"/>
      <c r="M32" s="113"/>
      <c r="N32" s="109"/>
      <c r="O32" s="109"/>
      <c r="P32" s="113"/>
      <c r="Q32" s="53"/>
      <c r="R32" s="53"/>
    </row>
    <row r="33" spans="1:18" x14ac:dyDescent="0.25">
      <c r="B33" s="109" t="s">
        <v>112</v>
      </c>
      <c r="C33" s="109">
        <f>C32</f>
        <v>7100</v>
      </c>
      <c r="D33" s="118">
        <f>C24</f>
        <v>12.345679012345679</v>
      </c>
      <c r="E33" s="113">
        <f t="shared" si="5"/>
        <v>87654.320987654326</v>
      </c>
      <c r="F33" s="109">
        <f>F32</f>
        <v>9100</v>
      </c>
      <c r="G33" s="118">
        <f t="shared" ref="G33:G35" si="7">D33</f>
        <v>12.345679012345679</v>
      </c>
      <c r="H33" s="113">
        <f t="shared" si="6"/>
        <v>112345.67901234567</v>
      </c>
      <c r="I33" s="119"/>
      <c r="J33" s="109"/>
      <c r="K33" s="109"/>
      <c r="L33" s="109"/>
      <c r="M33" s="113"/>
      <c r="N33" s="109"/>
      <c r="O33" s="109"/>
      <c r="P33" s="113"/>
      <c r="Q33" s="53"/>
      <c r="R33" s="53"/>
    </row>
    <row r="34" spans="1:18" x14ac:dyDescent="0.25">
      <c r="B34" s="109" t="s">
        <v>113</v>
      </c>
      <c r="C34" s="109">
        <f>I16</f>
        <v>3200</v>
      </c>
      <c r="D34" s="118">
        <f>D25</f>
        <v>114</v>
      </c>
      <c r="E34" s="113">
        <f t="shared" si="5"/>
        <v>364800</v>
      </c>
      <c r="F34" s="109">
        <f>I17</f>
        <v>2000</v>
      </c>
      <c r="G34" s="118">
        <f t="shared" si="7"/>
        <v>114</v>
      </c>
      <c r="H34" s="113">
        <f t="shared" si="6"/>
        <v>228000</v>
      </c>
      <c r="I34" s="53"/>
      <c r="J34" s="109"/>
      <c r="K34" s="109"/>
      <c r="L34" s="118"/>
      <c r="M34" s="113"/>
      <c r="N34" s="109"/>
      <c r="O34" s="118"/>
      <c r="P34" s="120"/>
      <c r="Q34" s="121"/>
      <c r="R34" s="51"/>
    </row>
    <row r="35" spans="1:18" x14ac:dyDescent="0.25">
      <c r="B35" s="109" t="s">
        <v>114</v>
      </c>
      <c r="C35" s="109">
        <f>C34</f>
        <v>3200</v>
      </c>
      <c r="D35" s="118">
        <f>D24</f>
        <v>57.692307692307693</v>
      </c>
      <c r="E35" s="113">
        <f t="shared" si="5"/>
        <v>184615.38461538462</v>
      </c>
      <c r="F35" s="109">
        <f>F34</f>
        <v>2000</v>
      </c>
      <c r="G35" s="118">
        <f t="shared" si="7"/>
        <v>57.692307692307693</v>
      </c>
      <c r="H35" s="113">
        <f t="shared" si="6"/>
        <v>115384.61538461539</v>
      </c>
      <c r="I35" s="119"/>
      <c r="J35" s="109"/>
      <c r="K35" s="109"/>
      <c r="L35" s="118"/>
      <c r="M35" s="113"/>
      <c r="N35" s="109"/>
      <c r="O35" s="118"/>
      <c r="P35" s="120"/>
      <c r="Q35" s="121"/>
      <c r="R35" s="51"/>
    </row>
    <row r="36" spans="1:18" ht="30" x14ac:dyDescent="0.25">
      <c r="B36" s="122" t="s">
        <v>115</v>
      </c>
      <c r="C36" s="123">
        <f>C35</f>
        <v>3200</v>
      </c>
      <c r="D36" s="124">
        <f>E36/C36</f>
        <v>368.18497744539417</v>
      </c>
      <c r="E36" s="124">
        <f>SUM(E30:E35)</f>
        <v>1178191.9278252614</v>
      </c>
      <c r="F36" s="123">
        <f>F35</f>
        <v>2000</v>
      </c>
      <c r="G36" s="125">
        <f>H36/F36</f>
        <v>609.40403608736938</v>
      </c>
      <c r="H36" s="126">
        <f>SUM(H30:H35)</f>
        <v>1218808.0721747389</v>
      </c>
      <c r="I36" s="127">
        <f>H36+E36</f>
        <v>2397000</v>
      </c>
      <c r="J36" s="128" t="s">
        <v>115</v>
      </c>
      <c r="K36" s="1">
        <f>K35</f>
        <v>0</v>
      </c>
      <c r="L36" s="4" t="e">
        <f>M36/K36</f>
        <v>#DIV/0!</v>
      </c>
      <c r="M36" s="4">
        <f>SUM(M32:M35)</f>
        <v>0</v>
      </c>
      <c r="N36" s="1">
        <f>N35</f>
        <v>0</v>
      </c>
      <c r="O36" s="129" t="e">
        <f>P36/N36</f>
        <v>#DIV/0!</v>
      </c>
      <c r="P36" s="130">
        <f>SUM(P32:P35)</f>
        <v>0</v>
      </c>
      <c r="Q36" s="131">
        <f>SUM(M36+P36)</f>
        <v>0</v>
      </c>
      <c r="R36" s="75"/>
    </row>
    <row r="37" spans="1:18" ht="30" x14ac:dyDescent="0.25">
      <c r="B37" s="122" t="s">
        <v>116</v>
      </c>
      <c r="C37" s="123">
        <v>2500</v>
      </c>
      <c r="D37" s="124">
        <f>D36</f>
        <v>368.18497744539417</v>
      </c>
      <c r="E37" s="124">
        <f>C37*D37</f>
        <v>920462.44361348543</v>
      </c>
      <c r="F37" s="123">
        <v>1800</v>
      </c>
      <c r="G37" s="125">
        <f>G36</f>
        <v>609.40403608736938</v>
      </c>
      <c r="H37" s="126">
        <f>F37*G37</f>
        <v>1096927.2649572648</v>
      </c>
      <c r="I37" s="127">
        <f>H37+E37</f>
        <v>2017389.7085707502</v>
      </c>
      <c r="J37" s="132"/>
      <c r="L37" s="133"/>
      <c r="M37" s="133"/>
      <c r="O37" s="134"/>
      <c r="P37" s="135"/>
    </row>
    <row r="38" spans="1:18" x14ac:dyDescent="0.25">
      <c r="B38" s="109" t="s">
        <v>117</v>
      </c>
      <c r="C38" s="109">
        <f>2500*450</f>
        <v>1125000</v>
      </c>
      <c r="D38" s="136">
        <v>0.02</v>
      </c>
      <c r="E38" s="137">
        <f>C38*D38</f>
        <v>22500</v>
      </c>
      <c r="F38" s="109">
        <f>K17*J17</f>
        <v>1233000</v>
      </c>
      <c r="G38" s="136">
        <f>D38</f>
        <v>0.02</v>
      </c>
      <c r="H38" s="113">
        <f>F38*G38</f>
        <v>24660</v>
      </c>
      <c r="L38" s="138"/>
      <c r="M38" s="133"/>
      <c r="O38" s="138"/>
      <c r="P38" s="135"/>
    </row>
    <row r="39" spans="1:18" x14ac:dyDescent="0.25">
      <c r="B39" s="109" t="s">
        <v>118</v>
      </c>
      <c r="C39" s="109">
        <f>K16</f>
        <v>2500</v>
      </c>
      <c r="D39" s="118">
        <f>E25</f>
        <v>30.4</v>
      </c>
      <c r="E39" s="137">
        <f t="shared" ref="E39:E40" si="8">C39*D39</f>
        <v>76000</v>
      </c>
      <c r="F39" s="109">
        <f>K17</f>
        <v>1800</v>
      </c>
      <c r="G39" s="118">
        <f>E25</f>
        <v>30.4</v>
      </c>
      <c r="H39" s="113">
        <f>F39*G39</f>
        <v>54720</v>
      </c>
      <c r="L39" s="134"/>
      <c r="M39" s="133"/>
      <c r="O39" s="134"/>
      <c r="P39" s="135"/>
    </row>
    <row r="40" spans="1:18" x14ac:dyDescent="0.25">
      <c r="B40" s="109" t="s">
        <v>119</v>
      </c>
      <c r="C40" s="109">
        <f>C39</f>
        <v>2500</v>
      </c>
      <c r="D40" s="118">
        <f>E24</f>
        <v>32.558139534883722</v>
      </c>
      <c r="E40" s="137">
        <f t="shared" si="8"/>
        <v>81395.348837209298</v>
      </c>
      <c r="F40" s="109">
        <f>F39</f>
        <v>1800</v>
      </c>
      <c r="G40" s="118">
        <f>E24</f>
        <v>32.558139534883722</v>
      </c>
      <c r="H40" s="113">
        <f>F40*G40</f>
        <v>58604.651162790702</v>
      </c>
      <c r="I40" s="133"/>
      <c r="L40" s="134"/>
      <c r="M40" s="133"/>
      <c r="O40" s="134"/>
      <c r="P40" s="135"/>
    </row>
    <row r="41" spans="1:18" x14ac:dyDescent="0.25">
      <c r="B41" s="123" t="s">
        <v>120</v>
      </c>
      <c r="C41" s="123">
        <f>C40</f>
        <v>2500</v>
      </c>
      <c r="D41" s="124">
        <f>E41/C41</f>
        <v>440.14311698027791</v>
      </c>
      <c r="E41" s="124">
        <f>SUM(E37:E40)</f>
        <v>1100357.7924506948</v>
      </c>
      <c r="F41" s="139">
        <f>F40</f>
        <v>1800</v>
      </c>
      <c r="G41" s="124">
        <f>H41/F41</f>
        <v>686.06217562225299</v>
      </c>
      <c r="H41" s="124">
        <f t="shared" ref="H41" si="9">SUM(H37:H40)</f>
        <v>1234911.9161200554</v>
      </c>
      <c r="I41" s="127">
        <f>H41+E41</f>
        <v>2335269.7085707504</v>
      </c>
      <c r="L41" s="133"/>
      <c r="M41" s="133"/>
      <c r="N41" s="140"/>
      <c r="O41" s="133"/>
      <c r="P41" s="133"/>
    </row>
    <row r="42" spans="1:18" x14ac:dyDescent="0.25">
      <c r="B42" s="109" t="s">
        <v>19</v>
      </c>
      <c r="C42" s="109">
        <f>C41</f>
        <v>2500</v>
      </c>
      <c r="D42" s="113">
        <f>J16</f>
        <v>450</v>
      </c>
      <c r="E42" s="137">
        <f>C42*D42</f>
        <v>1125000</v>
      </c>
      <c r="F42" s="109">
        <f>F40</f>
        <v>1800</v>
      </c>
      <c r="G42" s="113">
        <f>J17</f>
        <v>685</v>
      </c>
      <c r="H42" s="137">
        <f>F42*G42</f>
        <v>1233000</v>
      </c>
      <c r="M42" s="133"/>
      <c r="P42" s="133"/>
    </row>
    <row r="43" spans="1:18" x14ac:dyDescent="0.25">
      <c r="B43" s="123" t="s">
        <v>16</v>
      </c>
      <c r="C43" s="123">
        <v>2500</v>
      </c>
      <c r="D43" s="124">
        <f>E43/C43</f>
        <v>9.8568830197220674</v>
      </c>
      <c r="E43" s="124">
        <f>E42-E41</f>
        <v>24642.207549305167</v>
      </c>
      <c r="F43" s="123">
        <f>F42</f>
        <v>1800</v>
      </c>
      <c r="G43" s="124">
        <f>H43/F43</f>
        <v>-1.0621756222529803</v>
      </c>
      <c r="H43" s="124">
        <f>H42-H41</f>
        <v>-1911.9161200553644</v>
      </c>
      <c r="I43" s="127">
        <f>E43+H43</f>
        <v>22730.291429249803</v>
      </c>
      <c r="M43" s="133"/>
      <c r="P43" s="133"/>
    </row>
    <row r="45" spans="1:18" x14ac:dyDescent="0.25">
      <c r="I45" s="133"/>
    </row>
    <row r="46" spans="1:18" x14ac:dyDescent="0.25">
      <c r="A46" t="s">
        <v>121</v>
      </c>
      <c r="C46" s="133">
        <f>2406200-2397000</f>
        <v>9200</v>
      </c>
    </row>
    <row r="52" spans="2:15" s="132" customFormat="1" ht="30" x14ac:dyDescent="0.25">
      <c r="B52" s="128"/>
      <c r="C52" s="141" t="s">
        <v>122</v>
      </c>
      <c r="D52" s="141" t="s">
        <v>123</v>
      </c>
      <c r="E52" s="141" t="s">
        <v>124</v>
      </c>
      <c r="F52" s="141" t="s">
        <v>74</v>
      </c>
      <c r="G52" s="141" t="s">
        <v>64</v>
      </c>
      <c r="K52" s="142"/>
      <c r="L52" s="142"/>
      <c r="M52" s="143"/>
    </row>
    <row r="53" spans="2:15" x14ac:dyDescent="0.25">
      <c r="B53" s="1" t="s">
        <v>125</v>
      </c>
      <c r="C53" s="18">
        <f>E30+E31+H30+H31</f>
        <v>1016200</v>
      </c>
      <c r="D53" s="18">
        <f>C53</f>
        <v>1016200</v>
      </c>
      <c r="E53" s="1"/>
      <c r="F53" s="1"/>
      <c r="G53" s="1"/>
      <c r="K53" s="144"/>
      <c r="L53" s="144"/>
      <c r="M53" s="145"/>
    </row>
    <row r="54" spans="2:15" x14ac:dyDescent="0.25">
      <c r="B54" s="1" t="s">
        <v>126</v>
      </c>
      <c r="C54" s="18">
        <v>488000</v>
      </c>
      <c r="D54" s="18">
        <f>520000</f>
        <v>520000</v>
      </c>
      <c r="E54" s="146">
        <f>C54-D54</f>
        <v>-32000</v>
      </c>
      <c r="F54" s="1" t="s">
        <v>127</v>
      </c>
      <c r="G54" s="1" t="s">
        <v>128</v>
      </c>
      <c r="K54" s="144"/>
      <c r="L54" s="144"/>
      <c r="M54" s="145"/>
    </row>
    <row r="55" spans="2:15" x14ac:dyDescent="0.25">
      <c r="B55" s="1" t="s">
        <v>26</v>
      </c>
      <c r="C55" s="18">
        <v>892800</v>
      </c>
      <c r="D55" s="18">
        <v>870000</v>
      </c>
      <c r="E55" s="146">
        <f>C55-D55</f>
        <v>22800</v>
      </c>
      <c r="F55" s="1" t="s">
        <v>129</v>
      </c>
      <c r="G55" s="1" t="s">
        <v>130</v>
      </c>
      <c r="K55" s="144"/>
      <c r="L55" s="144"/>
      <c r="M55" s="145"/>
    </row>
    <row r="56" spans="2:15" x14ac:dyDescent="0.25">
      <c r="B56" s="1" t="s">
        <v>54</v>
      </c>
      <c r="C56" s="146">
        <f>SUM(C53:C55)</f>
        <v>2397000</v>
      </c>
      <c r="D56" s="146">
        <f>SUM(D53:D55)</f>
        <v>2406200</v>
      </c>
      <c r="E56" s="147">
        <f>E54+E55</f>
        <v>-9200</v>
      </c>
      <c r="F56" s="1"/>
      <c r="G56" s="1"/>
      <c r="K56" s="144"/>
      <c r="L56" s="144"/>
      <c r="M56" s="145"/>
    </row>
    <row r="57" spans="2:15" x14ac:dyDescent="0.25">
      <c r="K57" s="144"/>
      <c r="L57" s="144"/>
      <c r="M57" s="145"/>
    </row>
    <row r="58" spans="2:15" x14ac:dyDescent="0.25">
      <c r="K58" s="144"/>
      <c r="L58" s="144"/>
      <c r="M58" s="145"/>
    </row>
    <row r="59" spans="2:15" x14ac:dyDescent="0.25">
      <c r="K59" s="145">
        <f>SUM(C53:C55)</f>
        <v>2397000</v>
      </c>
      <c r="L59" s="145">
        <f>SUM(D53:D55)</f>
        <v>2406200</v>
      </c>
    </row>
    <row r="60" spans="2:15" x14ac:dyDescent="0.25">
      <c r="B60" s="1" t="s">
        <v>131</v>
      </c>
      <c r="C60" s="3">
        <v>24642.21</v>
      </c>
    </row>
    <row r="61" spans="2:15" x14ac:dyDescent="0.25">
      <c r="B61" s="1" t="s">
        <v>132</v>
      </c>
      <c r="C61" s="3">
        <v>-1911.92</v>
      </c>
      <c r="D61" s="148"/>
      <c r="K61" s="133">
        <f>I40</f>
        <v>0</v>
      </c>
      <c r="L61">
        <f>E15</f>
        <v>292000</v>
      </c>
      <c r="M61" s="133">
        <f>K61-L61</f>
        <v>-292000</v>
      </c>
      <c r="N61" t="s">
        <v>133</v>
      </c>
      <c r="O61" t="s">
        <v>134</v>
      </c>
    </row>
    <row r="62" spans="2:15" x14ac:dyDescent="0.25">
      <c r="B62" s="1" t="s">
        <v>135</v>
      </c>
      <c r="C62" s="3">
        <f>E54</f>
        <v>-32000</v>
      </c>
    </row>
    <row r="63" spans="2:15" x14ac:dyDescent="0.25">
      <c r="B63" s="1" t="s">
        <v>136</v>
      </c>
      <c r="C63" s="3">
        <f>E55</f>
        <v>22800</v>
      </c>
    </row>
    <row r="64" spans="2:15" x14ac:dyDescent="0.25">
      <c r="B64" s="1" t="s">
        <v>137</v>
      </c>
      <c r="C64" s="3">
        <f>270720-292000</f>
        <v>-21280</v>
      </c>
    </row>
    <row r="65" spans="2:3" x14ac:dyDescent="0.25">
      <c r="B65" s="1" t="s">
        <v>138</v>
      </c>
      <c r="C65" s="36">
        <f>C60+C61+C62+C63+C64</f>
        <v>-7749.7099999999991</v>
      </c>
    </row>
  </sheetData>
  <mergeCells count="6">
    <mergeCell ref="I15:R15"/>
    <mergeCell ref="C28:E28"/>
    <mergeCell ref="F28:H28"/>
    <mergeCell ref="J29:Q29"/>
    <mergeCell ref="K30:M30"/>
    <mergeCell ref="N30:P30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I46"/>
  <sheetViews>
    <sheetView showGridLines="0" zoomScale="160" zoomScaleNormal="160" workbookViewId="0">
      <selection activeCell="E15" sqref="E15"/>
    </sheetView>
  </sheetViews>
  <sheetFormatPr baseColWidth="10" defaultRowHeight="15" x14ac:dyDescent="0.25"/>
  <cols>
    <col min="1" max="1" width="26.5703125" customWidth="1"/>
    <col min="2" max="2" width="14.85546875" bestFit="1" customWidth="1"/>
    <col min="3" max="3" width="16.140625" bestFit="1" customWidth="1"/>
    <col min="4" max="4" width="13.7109375" bestFit="1" customWidth="1"/>
    <col min="5" max="5" width="11.85546875" bestFit="1" customWidth="1"/>
    <col min="6" max="6" width="14.85546875" bestFit="1" customWidth="1"/>
    <col min="7" max="7" width="12.85546875" bestFit="1" customWidth="1"/>
    <col min="8" max="8" width="14.85546875" bestFit="1" customWidth="1"/>
    <col min="9" max="9" width="12.85546875" bestFit="1" customWidth="1"/>
  </cols>
  <sheetData>
    <row r="2" spans="1:5" ht="15.75" thickBot="1" x14ac:dyDescent="0.3"/>
    <row r="3" spans="1:5" ht="15.75" thickBot="1" x14ac:dyDescent="0.3">
      <c r="A3" s="6"/>
      <c r="B3" s="7" t="s">
        <v>24</v>
      </c>
      <c r="C3" s="7" t="s">
        <v>25</v>
      </c>
      <c r="D3" s="7" t="s">
        <v>26</v>
      </c>
      <c r="E3" s="7" t="s">
        <v>27</v>
      </c>
    </row>
    <row r="4" spans="1:5" ht="15.75" thickBot="1" x14ac:dyDescent="0.3">
      <c r="A4" s="8" t="s">
        <v>28</v>
      </c>
      <c r="B4" s="9">
        <v>10000</v>
      </c>
      <c r="C4" s="9">
        <v>5000</v>
      </c>
      <c r="D4" s="9">
        <v>50000</v>
      </c>
      <c r="E4" s="9">
        <v>20000</v>
      </c>
    </row>
    <row r="5" spans="1:5" x14ac:dyDescent="0.25">
      <c r="A5" s="10" t="s">
        <v>15</v>
      </c>
      <c r="B5" s="11">
        <v>10000</v>
      </c>
      <c r="C5" s="11">
        <v>2000</v>
      </c>
      <c r="D5" s="11">
        <v>40000</v>
      </c>
      <c r="E5" s="11">
        <v>10000</v>
      </c>
    </row>
    <row r="6" spans="1:5" ht="15.75" thickBot="1" x14ac:dyDescent="0.3">
      <c r="A6" s="8" t="s">
        <v>14</v>
      </c>
      <c r="B6" s="12">
        <v>0</v>
      </c>
      <c r="C6" s="9">
        <v>3000</v>
      </c>
      <c r="D6" s="9">
        <v>10000</v>
      </c>
      <c r="E6" s="9">
        <v>10000</v>
      </c>
    </row>
    <row r="7" spans="1:5" ht="26.25" thickBot="1" x14ac:dyDescent="0.3">
      <c r="A7" s="8" t="s">
        <v>29</v>
      </c>
      <c r="B7" s="12" t="s">
        <v>30</v>
      </c>
      <c r="C7" s="12" t="s">
        <v>31</v>
      </c>
      <c r="D7" s="12" t="s">
        <v>32</v>
      </c>
      <c r="E7" s="12" t="s">
        <v>33</v>
      </c>
    </row>
    <row r="8" spans="1:5" ht="15.75" thickBot="1" x14ac:dyDescent="0.3">
      <c r="A8" s="8" t="s">
        <v>34</v>
      </c>
      <c r="B8" s="12" t="s">
        <v>35</v>
      </c>
      <c r="C8" s="12">
        <v>1</v>
      </c>
      <c r="D8" s="12">
        <v>0.9</v>
      </c>
      <c r="E8" s="12">
        <v>1.2</v>
      </c>
    </row>
    <row r="9" spans="1:5" ht="15.75" thickBot="1" x14ac:dyDescent="0.3">
      <c r="A9" s="8" t="s">
        <v>36</v>
      </c>
      <c r="B9" s="12" t="s">
        <v>30</v>
      </c>
      <c r="C9" s="13">
        <v>0.1</v>
      </c>
      <c r="D9" s="13">
        <v>0.6</v>
      </c>
      <c r="E9" s="13">
        <v>0.3</v>
      </c>
    </row>
    <row r="11" spans="1:5" ht="15.75" thickBot="1" x14ac:dyDescent="0.3"/>
    <row r="12" spans="1:5" ht="15.75" thickBot="1" x14ac:dyDescent="0.3">
      <c r="A12" s="6"/>
      <c r="B12" s="7" t="s">
        <v>37</v>
      </c>
      <c r="C12" s="7" t="s">
        <v>38</v>
      </c>
    </row>
    <row r="13" spans="1:5" ht="15.75" thickBot="1" x14ac:dyDescent="0.3">
      <c r="A13" s="8" t="s">
        <v>39</v>
      </c>
      <c r="B13" s="12" t="s">
        <v>40</v>
      </c>
      <c r="C13" s="12" t="s">
        <v>41</v>
      </c>
    </row>
    <row r="14" spans="1:5" ht="15.75" thickBot="1" x14ac:dyDescent="0.3">
      <c r="A14" s="8" t="s">
        <v>42</v>
      </c>
      <c r="B14" s="12" t="s">
        <v>43</v>
      </c>
      <c r="C14" s="12" t="s">
        <v>44</v>
      </c>
    </row>
    <row r="15" spans="1:5" ht="26.25" thickBot="1" x14ac:dyDescent="0.3">
      <c r="A15" s="8" t="s">
        <v>83</v>
      </c>
      <c r="B15" s="9">
        <v>3000</v>
      </c>
      <c r="C15" s="9">
        <v>2000</v>
      </c>
    </row>
    <row r="16" spans="1:5" ht="15.75" thickBot="1" x14ac:dyDescent="0.3">
      <c r="A16" s="8" t="s">
        <v>45</v>
      </c>
      <c r="B16" s="20">
        <v>80000</v>
      </c>
      <c r="C16" s="20">
        <v>38000</v>
      </c>
    </row>
    <row r="20" spans="1:9" ht="26.25" customHeight="1" x14ac:dyDescent="0.25">
      <c r="A20" s="14"/>
      <c r="B20" s="96" t="s">
        <v>24</v>
      </c>
      <c r="C20" s="96"/>
      <c r="D20" s="97" t="s">
        <v>25</v>
      </c>
      <c r="E20" s="97"/>
      <c r="F20" s="97" t="s">
        <v>26</v>
      </c>
      <c r="G20" s="97"/>
      <c r="H20" s="98" t="s">
        <v>27</v>
      </c>
      <c r="I20" s="99"/>
    </row>
    <row r="21" spans="1:9" ht="26.25" customHeight="1" x14ac:dyDescent="0.25">
      <c r="A21" s="14"/>
      <c r="B21" s="15" t="s">
        <v>15</v>
      </c>
      <c r="C21" s="15" t="s">
        <v>14</v>
      </c>
      <c r="D21" s="15" t="s">
        <v>15</v>
      </c>
      <c r="E21" s="15" t="s">
        <v>14</v>
      </c>
      <c r="F21" s="15" t="s">
        <v>15</v>
      </c>
      <c r="G21" s="15" t="s">
        <v>14</v>
      </c>
      <c r="H21" s="15" t="s">
        <v>15</v>
      </c>
      <c r="I21" s="15" t="s">
        <v>14</v>
      </c>
    </row>
    <row r="22" spans="1:9" x14ac:dyDescent="0.25">
      <c r="A22" s="16" t="s">
        <v>28</v>
      </c>
      <c r="B22" s="17">
        <v>10000</v>
      </c>
      <c r="C22" s="18"/>
      <c r="D22" s="17">
        <v>2000</v>
      </c>
      <c r="E22" s="18">
        <v>3000</v>
      </c>
      <c r="F22" s="17">
        <v>40000</v>
      </c>
      <c r="G22" s="18">
        <v>10000</v>
      </c>
      <c r="H22" s="17">
        <v>10000</v>
      </c>
      <c r="I22" s="18">
        <v>10000</v>
      </c>
    </row>
    <row r="23" spans="1:9" x14ac:dyDescent="0.25">
      <c r="A23" s="16" t="s">
        <v>46</v>
      </c>
      <c r="B23" s="17">
        <f>B22*0.95</f>
        <v>9500</v>
      </c>
      <c r="C23" s="18"/>
      <c r="D23" s="17">
        <v>2000</v>
      </c>
      <c r="E23" s="18">
        <f>E22</f>
        <v>3000</v>
      </c>
      <c r="F23" s="17">
        <f>40000*0.9</f>
        <v>36000</v>
      </c>
      <c r="G23" s="18">
        <f>G22</f>
        <v>10000</v>
      </c>
      <c r="H23" s="17">
        <f>10000*1.2</f>
        <v>12000</v>
      </c>
      <c r="I23" s="18">
        <f>I22</f>
        <v>10000</v>
      </c>
    </row>
    <row r="24" spans="1:9" x14ac:dyDescent="0.25">
      <c r="A24" s="16" t="s">
        <v>47</v>
      </c>
      <c r="B24" s="15">
        <v>-9500</v>
      </c>
      <c r="C24" s="1"/>
      <c r="D24" s="19">
        <f>B23*0.1</f>
        <v>950</v>
      </c>
      <c r="E24" s="1"/>
      <c r="F24" s="19">
        <f>B23*0.6</f>
        <v>5700</v>
      </c>
      <c r="G24" s="1"/>
      <c r="H24" s="19">
        <f>B23*0.3</f>
        <v>2850</v>
      </c>
      <c r="I24" s="1"/>
    </row>
    <row r="25" spans="1:9" x14ac:dyDescent="0.25">
      <c r="A25" s="16" t="s">
        <v>48</v>
      </c>
      <c r="B25" s="19">
        <f>B23+B24</f>
        <v>0</v>
      </c>
      <c r="C25" s="1"/>
      <c r="D25" s="69">
        <f>D23+D24</f>
        <v>2950</v>
      </c>
      <c r="E25" s="69">
        <f t="shared" ref="E25:I25" si="0">E23+E24</f>
        <v>3000</v>
      </c>
      <c r="F25" s="69">
        <f t="shared" si="0"/>
        <v>41700</v>
      </c>
      <c r="G25" s="69">
        <f t="shared" si="0"/>
        <v>10000</v>
      </c>
      <c r="H25" s="69">
        <f t="shared" si="0"/>
        <v>14850</v>
      </c>
      <c r="I25" s="69">
        <f t="shared" si="0"/>
        <v>10000</v>
      </c>
    </row>
    <row r="26" spans="1:9" x14ac:dyDescent="0.25">
      <c r="A26" s="16" t="s">
        <v>49</v>
      </c>
      <c r="B26" s="15" t="s">
        <v>30</v>
      </c>
      <c r="C26" s="1"/>
      <c r="D26" s="102">
        <v>100</v>
      </c>
      <c r="E26" s="103"/>
      <c r="F26" s="102">
        <v>400</v>
      </c>
      <c r="G26" s="103"/>
      <c r="H26" s="100">
        <f>(80000+38000)/100</f>
        <v>1180</v>
      </c>
      <c r="I26" s="101"/>
    </row>
    <row r="27" spans="1:9" x14ac:dyDescent="0.25">
      <c r="A27" s="16" t="s">
        <v>50</v>
      </c>
      <c r="B27" s="1"/>
      <c r="C27" s="1"/>
      <c r="D27" s="32">
        <f>D25/D26</f>
        <v>29.5</v>
      </c>
      <c r="E27" s="32">
        <f>E25/D26</f>
        <v>30</v>
      </c>
      <c r="F27" s="32">
        <f>F25/F26</f>
        <v>104.25</v>
      </c>
      <c r="G27" s="32">
        <f>G25/F26</f>
        <v>25</v>
      </c>
      <c r="H27" s="32">
        <f>H25/H26</f>
        <v>12.584745762711865</v>
      </c>
      <c r="I27" s="32">
        <f>I25/H26</f>
        <v>8.4745762711864412</v>
      </c>
    </row>
    <row r="29" spans="1:9" ht="15.75" thickBot="1" x14ac:dyDescent="0.3"/>
    <row r="30" spans="1:9" ht="26.25" customHeight="1" thickBot="1" x14ac:dyDescent="0.3">
      <c r="A30" s="23"/>
      <c r="B30" s="104" t="s">
        <v>37</v>
      </c>
      <c r="C30" s="104"/>
      <c r="D30" s="104"/>
      <c r="E30" s="104" t="s">
        <v>38</v>
      </c>
      <c r="F30" s="104"/>
      <c r="G30" s="104"/>
    </row>
    <row r="31" spans="1:9" ht="26.25" customHeight="1" x14ac:dyDescent="0.25">
      <c r="A31" s="21"/>
      <c r="B31" s="22" t="s">
        <v>6</v>
      </c>
      <c r="C31" s="22" t="s">
        <v>0</v>
      </c>
      <c r="D31" s="22" t="s">
        <v>5</v>
      </c>
      <c r="E31" s="22" t="s">
        <v>6</v>
      </c>
      <c r="F31" s="22" t="s">
        <v>0</v>
      </c>
      <c r="G31" s="22" t="s">
        <v>5</v>
      </c>
    </row>
    <row r="32" spans="1:9" x14ac:dyDescent="0.25">
      <c r="A32" s="37" t="s">
        <v>39</v>
      </c>
      <c r="B32" s="38">
        <v>70</v>
      </c>
      <c r="C32" s="39">
        <v>100</v>
      </c>
      <c r="D32" s="40">
        <f>B32*C32</f>
        <v>7000</v>
      </c>
      <c r="E32" s="38">
        <v>20</v>
      </c>
      <c r="F32" s="40">
        <v>100</v>
      </c>
      <c r="G32" s="40">
        <f>F32*E32</f>
        <v>2000</v>
      </c>
    </row>
    <row r="33" spans="1:7" x14ac:dyDescent="0.25">
      <c r="A33" s="37" t="s">
        <v>42</v>
      </c>
      <c r="B33" s="38">
        <v>300</v>
      </c>
      <c r="C33" s="39">
        <v>50</v>
      </c>
      <c r="D33" s="35">
        <f>B33*C33</f>
        <v>15000</v>
      </c>
      <c r="E33" s="38">
        <v>100</v>
      </c>
      <c r="F33" s="35">
        <v>50</v>
      </c>
      <c r="G33" s="35">
        <f>E33*F33</f>
        <v>5000</v>
      </c>
    </row>
    <row r="34" spans="1:7" ht="25.5" x14ac:dyDescent="0.25">
      <c r="A34" s="37" t="s">
        <v>53</v>
      </c>
      <c r="B34" s="41"/>
      <c r="C34" s="39"/>
      <c r="D34" s="35">
        <v>3000</v>
      </c>
      <c r="E34" s="41"/>
      <c r="F34" s="35"/>
      <c r="G34" s="35">
        <v>2000</v>
      </c>
    </row>
    <row r="35" spans="1:7" x14ac:dyDescent="0.25">
      <c r="A35" s="42" t="s">
        <v>25</v>
      </c>
      <c r="B35" s="43"/>
      <c r="C35" s="44"/>
      <c r="D35" s="29"/>
      <c r="E35" s="43"/>
      <c r="F35" s="29"/>
      <c r="G35" s="29"/>
    </row>
    <row r="36" spans="1:7" x14ac:dyDescent="0.25">
      <c r="A36" s="45" t="s">
        <v>51</v>
      </c>
      <c r="B36" s="46">
        <f>B32</f>
        <v>70</v>
      </c>
      <c r="C36" s="44">
        <f>D27</f>
        <v>29.5</v>
      </c>
      <c r="D36" s="29">
        <f>B36*C36</f>
        <v>2065</v>
      </c>
      <c r="E36" s="46">
        <f>20</f>
        <v>20</v>
      </c>
      <c r="F36" s="29">
        <f>C36</f>
        <v>29.5</v>
      </c>
      <c r="G36" s="29">
        <f>E36*F36</f>
        <v>590</v>
      </c>
    </row>
    <row r="37" spans="1:7" x14ac:dyDescent="0.25">
      <c r="A37" s="45" t="s">
        <v>52</v>
      </c>
      <c r="B37" s="47">
        <f>B32</f>
        <v>70</v>
      </c>
      <c r="C37" s="29">
        <f>E27</f>
        <v>30</v>
      </c>
      <c r="D37" s="29">
        <f t="shared" ref="D37:D43" si="1">B37*C37</f>
        <v>2100</v>
      </c>
      <c r="E37" s="47">
        <f>E36</f>
        <v>20</v>
      </c>
      <c r="F37" s="29">
        <f t="shared" ref="F37:F43" si="2">C37</f>
        <v>30</v>
      </c>
      <c r="G37" s="29">
        <f t="shared" ref="G37:G43" si="3">E37*F37</f>
        <v>600</v>
      </c>
    </row>
    <row r="38" spans="1:7" x14ac:dyDescent="0.25">
      <c r="A38" s="48" t="s">
        <v>26</v>
      </c>
      <c r="B38" s="49"/>
      <c r="C38" s="30"/>
      <c r="D38" s="30"/>
      <c r="E38" s="49"/>
      <c r="F38" s="30"/>
      <c r="G38" s="30">
        <f t="shared" si="3"/>
        <v>0</v>
      </c>
    </row>
    <row r="39" spans="1:7" x14ac:dyDescent="0.25">
      <c r="A39" s="50" t="s">
        <v>51</v>
      </c>
      <c r="B39" s="49">
        <f>B33</f>
        <v>300</v>
      </c>
      <c r="C39" s="30">
        <f>F27</f>
        <v>104.25</v>
      </c>
      <c r="D39" s="30">
        <f t="shared" si="1"/>
        <v>31275</v>
      </c>
      <c r="E39" s="49">
        <v>100</v>
      </c>
      <c r="F39" s="30">
        <f t="shared" si="2"/>
        <v>104.25</v>
      </c>
      <c r="G39" s="30">
        <f t="shared" si="3"/>
        <v>10425</v>
      </c>
    </row>
    <row r="40" spans="1:7" x14ac:dyDescent="0.25">
      <c r="A40" s="50" t="s">
        <v>52</v>
      </c>
      <c r="B40" s="49">
        <f>B39</f>
        <v>300</v>
      </c>
      <c r="C40" s="30">
        <f>G27</f>
        <v>25</v>
      </c>
      <c r="D40" s="30">
        <f t="shared" si="1"/>
        <v>7500</v>
      </c>
      <c r="E40" s="49">
        <v>100</v>
      </c>
      <c r="F40" s="30">
        <f t="shared" si="2"/>
        <v>25</v>
      </c>
      <c r="G40" s="30">
        <f t="shared" si="3"/>
        <v>2500</v>
      </c>
    </row>
    <row r="41" spans="1:7" x14ac:dyDescent="0.25">
      <c r="A41" s="70" t="s">
        <v>27</v>
      </c>
      <c r="B41" s="71"/>
      <c r="C41" s="26"/>
      <c r="D41" s="26"/>
      <c r="E41" s="71"/>
      <c r="F41" s="26"/>
      <c r="G41" s="26">
        <f t="shared" si="3"/>
        <v>0</v>
      </c>
    </row>
    <row r="42" spans="1:7" x14ac:dyDescent="0.25">
      <c r="A42" s="72" t="s">
        <v>51</v>
      </c>
      <c r="B42" s="71">
        <f>80000/100</f>
        <v>800</v>
      </c>
      <c r="C42" s="26">
        <f>H27</f>
        <v>12.584745762711865</v>
      </c>
      <c r="D42" s="26">
        <f t="shared" si="1"/>
        <v>10067.796610169493</v>
      </c>
      <c r="E42" s="71">
        <f>38000/100</f>
        <v>380</v>
      </c>
      <c r="F42" s="26">
        <f t="shared" si="2"/>
        <v>12.584745762711865</v>
      </c>
      <c r="G42" s="26">
        <f t="shared" si="3"/>
        <v>4782.203389830509</v>
      </c>
    </row>
    <row r="43" spans="1:7" x14ac:dyDescent="0.25">
      <c r="A43" s="72" t="s">
        <v>52</v>
      </c>
      <c r="B43" s="71">
        <f>B42</f>
        <v>800</v>
      </c>
      <c r="C43" s="26">
        <f>I27</f>
        <v>8.4745762711864412</v>
      </c>
      <c r="D43" s="26">
        <f t="shared" si="1"/>
        <v>6779.6610169491532</v>
      </c>
      <c r="E43" s="71">
        <f>E42</f>
        <v>380</v>
      </c>
      <c r="F43" s="26">
        <f t="shared" si="2"/>
        <v>8.4745762711864412</v>
      </c>
      <c r="G43" s="26">
        <f t="shared" si="3"/>
        <v>3220.3389830508477</v>
      </c>
    </row>
    <row r="44" spans="1:7" x14ac:dyDescent="0.25">
      <c r="A44" s="16" t="s">
        <v>54</v>
      </c>
      <c r="B44" s="84"/>
      <c r="C44" s="85"/>
      <c r="D44" s="3">
        <f>SUM(D32:D43)</f>
        <v>84787.457627118638</v>
      </c>
      <c r="E44" s="90"/>
      <c r="F44" s="91"/>
      <c r="G44" s="3">
        <f t="shared" ref="G44" si="4">SUM(G32:G43)</f>
        <v>31117.542372881355</v>
      </c>
    </row>
    <row r="45" spans="1:7" x14ac:dyDescent="0.25">
      <c r="A45" s="16" t="s">
        <v>19</v>
      </c>
      <c r="B45" s="86"/>
      <c r="C45" s="87"/>
      <c r="D45" s="3">
        <f>B16</f>
        <v>80000</v>
      </c>
      <c r="E45" s="92"/>
      <c r="F45" s="93"/>
      <c r="G45" s="3">
        <f>C16</f>
        <v>38000</v>
      </c>
    </row>
    <row r="46" spans="1:7" x14ac:dyDescent="0.25">
      <c r="A46" s="16" t="s">
        <v>55</v>
      </c>
      <c r="B46" s="88"/>
      <c r="C46" s="89"/>
      <c r="D46" s="36">
        <f>D45-D44</f>
        <v>-4787.4576271186379</v>
      </c>
      <c r="E46" s="94"/>
      <c r="F46" s="95"/>
      <c r="G46" s="36">
        <f>G45-G44</f>
        <v>6882.4576271186452</v>
      </c>
    </row>
  </sheetData>
  <mergeCells count="11">
    <mergeCell ref="H20:I20"/>
    <mergeCell ref="H26:I26"/>
    <mergeCell ref="D26:E26"/>
    <mergeCell ref="F26:G26"/>
    <mergeCell ref="B30:D30"/>
    <mergeCell ref="E30:G30"/>
    <mergeCell ref="B44:C46"/>
    <mergeCell ref="E44:F46"/>
    <mergeCell ref="B20:C20"/>
    <mergeCell ref="D20:E20"/>
    <mergeCell ref="F20:G20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Exo 1</vt:lpstr>
      <vt:lpstr>Exo 2</vt:lpstr>
      <vt:lpstr>Exo 3</vt:lpstr>
      <vt:lpstr>Exo 4</vt:lpstr>
      <vt:lpstr>Exo 4 Bis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NOEL Eric</cp:lastModifiedBy>
  <dcterms:created xsi:type="dcterms:W3CDTF">2018-07-10T09:16:27Z</dcterms:created>
  <dcterms:modified xsi:type="dcterms:W3CDTF">2020-10-31T13:12:07Z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643748ac-bf52-49d5-bc2b-4fd895fd7eb5</vt:lpwstr>
  </property>
</Properties>
</file>