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3/CG2P/R6 CG2P 07/"/>
    </mc:Choice>
  </mc:AlternateContent>
  <xr:revisionPtr revIDLastSave="0" documentId="8_{D55877D4-1B6B-4846-8213-F281BF4135D8}" xr6:coauthVersionLast="36" xr6:coauthVersionMax="36" xr10:uidLastSave="{00000000-0000-0000-0000-000000000000}"/>
  <bookViews>
    <workbookView xWindow="120" yWindow="108" windowWidth="28512" windowHeight="12600" activeTab="1" xr2:uid="{00000000-000D-0000-FFFF-FFFF00000000}"/>
  </bookViews>
  <sheets>
    <sheet name="Feuil1" sheetId="1" r:id="rId1"/>
    <sheet name="Houblon" sheetId="2" r:id="rId2"/>
    <sheet name="Feuil3" sheetId="3" r:id="rId3"/>
  </sheets>
  <definedNames>
    <definedName name="_xlnm.Print_Area" localSheetId="1">Houblon!$A$1:$F$40</definedName>
  </definedNames>
  <calcPr calcId="191029"/>
</workbook>
</file>

<file path=xl/calcChain.xml><?xml version="1.0" encoding="utf-8"?>
<calcChain xmlns="http://schemas.openxmlformats.org/spreadsheetml/2006/main">
  <c r="E20" i="2" l="1"/>
  <c r="D20" i="2"/>
  <c r="F20" i="2" s="1"/>
  <c r="G20" i="2" s="1"/>
  <c r="F19" i="2"/>
  <c r="G19" i="2" s="1"/>
  <c r="D19" i="2"/>
  <c r="D14" i="1" l="1"/>
  <c r="B14" i="1"/>
  <c r="B15" i="1" s="1"/>
  <c r="D36" i="2" l="1"/>
  <c r="D31" i="2" l="1"/>
  <c r="F33" i="2" l="1"/>
  <c r="I33" i="2"/>
  <c r="I32" i="2"/>
  <c r="D29" i="2"/>
  <c r="E4" i="2" l="1"/>
  <c r="B8" i="2"/>
  <c r="D32" i="2" l="1"/>
  <c r="D8" i="2"/>
  <c r="F8" i="2" s="1"/>
  <c r="B7" i="2"/>
  <c r="D7" i="2" s="1"/>
  <c r="F7" i="2" s="1"/>
  <c r="D34" i="2"/>
  <c r="C34" i="2"/>
  <c r="D35" i="2"/>
  <c r="D37" i="2" s="1"/>
  <c r="A35" i="2"/>
  <c r="D30" i="2"/>
  <c r="B28" i="2"/>
  <c r="D5" i="2"/>
  <c r="F5" i="2" s="1"/>
  <c r="D6" i="2"/>
  <c r="F6" i="2" s="1"/>
  <c r="D9" i="2"/>
  <c r="F9" i="2" s="1"/>
  <c r="D4" i="2"/>
  <c r="D10" i="2" l="1"/>
  <c r="F4" i="2"/>
  <c r="F10" i="2" s="1"/>
  <c r="D40" i="2" s="1"/>
  <c r="D6" i="1"/>
  <c r="D5" i="1"/>
  <c r="B5" i="1"/>
  <c r="B6" i="1"/>
  <c r="B27" i="1" l="1"/>
  <c r="B28" i="1" s="1"/>
  <c r="D26" i="1"/>
  <c r="E6" i="1"/>
  <c r="D27" i="1" l="1"/>
  <c r="B31" i="1"/>
  <c r="C5" i="1"/>
  <c r="E5" i="1"/>
  <c r="B32" i="1" l="1"/>
  <c r="D32" i="1" s="1"/>
  <c r="D31" i="1"/>
  <c r="C6" i="1"/>
  <c r="F6" i="1"/>
  <c r="G6" i="1" s="1"/>
  <c r="F5" i="1"/>
  <c r="G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=100*1,01*1,0075/100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=((100*6+100*4*1,01+(101*1,0075*2)))/1200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=100*1,0275*1,01/100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=((100*6+(100*1,0275*4)+(102,75*1,01*2)))/1200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6089*12*3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219204*1,00500833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((3606*30)-3750)/29</t>
        </r>
      </text>
    </comment>
    <comment ref="D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3601,03*29*12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=(2060*14-3000-3000)/12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3046824 * 1,00500833 = 3062083,51€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=3750*4+(3750*1,005*4)+(3750*1,005*1*1,005)</t>
        </r>
      </text>
    </comment>
    <comment ref="D31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
=3000*4+(3000*1,005*4)+(3000*1,005*1,005*3)</t>
        </r>
      </text>
    </comment>
    <comment ref="D3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=2800*1+(2800*4*1,005)+(2800*4*1,005*1,005)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3062058,12 + 76012,82 + 35868,28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<sst xmlns="http://schemas.openxmlformats.org/spreadsheetml/2006/main" count="68" uniqueCount="46">
  <si>
    <t>Cadre</t>
  </si>
  <si>
    <t>Non cadre</t>
  </si>
  <si>
    <t>Effet de masse</t>
  </si>
  <si>
    <t>Effet de niveau</t>
  </si>
  <si>
    <t>Effet de report</t>
  </si>
  <si>
    <t>6 mois</t>
  </si>
  <si>
    <t>01/07-01/11</t>
  </si>
  <si>
    <t>01/01 - 01/07</t>
  </si>
  <si>
    <t>4 mois</t>
  </si>
  <si>
    <t>01/11 - 31/12</t>
  </si>
  <si>
    <t>2 mois</t>
  </si>
  <si>
    <t>1er semestre</t>
  </si>
  <si>
    <t>2ème semestre</t>
  </si>
  <si>
    <t>EXPLICATION DES CADRES POUR N</t>
  </si>
  <si>
    <t>EXPLICATION DES NON CADRES POUR N</t>
  </si>
  <si>
    <t>EXPLICATION DES NON CADRES POUR N+1</t>
  </si>
  <si>
    <t>Indice</t>
  </si>
  <si>
    <t>% d'augmentation</t>
  </si>
  <si>
    <t>Direction</t>
  </si>
  <si>
    <t>Cadres</t>
  </si>
  <si>
    <t>Agent de maitrise</t>
  </si>
  <si>
    <t>Technicien</t>
  </si>
  <si>
    <t>Employés</t>
  </si>
  <si>
    <t>Ouvrier</t>
  </si>
  <si>
    <t>Empoyé 1</t>
  </si>
  <si>
    <t>Employé 2</t>
  </si>
  <si>
    <t>Nb de mois</t>
  </si>
  <si>
    <t>MS de N+2</t>
  </si>
  <si>
    <t>Départ</t>
  </si>
  <si>
    <t>Arrivées</t>
  </si>
  <si>
    <t>Employé</t>
  </si>
  <si>
    <t>Salaire</t>
  </si>
  <si>
    <t>Effectifs stables</t>
  </si>
  <si>
    <t>effectifs</t>
  </si>
  <si>
    <t>salaires bruts moyens décembre N+1</t>
  </si>
  <si>
    <t>Agents de maîtrise</t>
  </si>
  <si>
    <t>Techniciens</t>
  </si>
  <si>
    <t>Ouvriers</t>
  </si>
  <si>
    <t>Total</t>
  </si>
  <si>
    <t>Indice de Masse N+2</t>
  </si>
  <si>
    <t>MS  N+2</t>
  </si>
  <si>
    <t>MS Effectif stable de N+2 (sans les augmentations de N+2)</t>
  </si>
  <si>
    <t>SALAIRES BRUTS DE DECEMBRE N+1</t>
  </si>
  <si>
    <t>SM dec N+1 = Sal debut Jan N+2</t>
  </si>
  <si>
    <t>29 techniciens</t>
  </si>
  <si>
    <t>12 employés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</si>
</sst>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0.0000%"/>
    <numFmt numFmtId="165" formatCode="0.00000%"/>
    <numFmt numFmtId="166" formatCode="0.00000"/>
    <numFmt numFmtId="167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166" fontId="0" fillId="0" borderId="1" xfId="0" applyNumberFormat="1" applyBorder="1"/>
    <xf numFmtId="0" fontId="0" fillId="0" borderId="1" xfId="0" applyBorder="1" applyAlignment="1">
      <alignment horizontal="center"/>
    </xf>
    <xf numFmtId="167" fontId="0" fillId="0" borderId="1" xfId="2" applyNumberFormat="1" applyFont="1" applyBorder="1"/>
    <xf numFmtId="6" fontId="0" fillId="0" borderId="1" xfId="0" applyNumberFormat="1" applyBorder="1"/>
    <xf numFmtId="167" fontId="0" fillId="0" borderId="1" xfId="0" applyNumberFormat="1" applyBorder="1"/>
    <xf numFmtId="167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2" applyFont="1" applyBorder="1"/>
    <xf numFmtId="44" fontId="0" fillId="0" borderId="1" xfId="2" applyFont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4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5" fillId="0" borderId="0" xfId="0" applyNumberFormat="1" applyFont="1"/>
    <xf numFmtId="0" fontId="0" fillId="0" borderId="1" xfId="0" applyBorder="1" applyAlignment="1">
      <alignment horizontal="center" wrapText="1"/>
    </xf>
    <xf numFmtId="0" fontId="0" fillId="2" borderId="1" xfId="0" applyFill="1" applyBorder="1"/>
    <xf numFmtId="44" fontId="0" fillId="2" borderId="1" xfId="2" applyFont="1" applyFill="1" applyBorder="1"/>
    <xf numFmtId="0" fontId="0" fillId="0" borderId="0" xfId="0" applyAlignment="1">
      <alignment horizontal="left"/>
    </xf>
    <xf numFmtId="44" fontId="0" fillId="2" borderId="1" xfId="2" applyFont="1" applyFill="1" applyBorder="1" applyAlignment="1">
      <alignment horizontal="center"/>
    </xf>
    <xf numFmtId="0" fontId="0" fillId="2" borderId="0" xfId="0" applyFill="1" applyAlignment="1">
      <alignment horizontal="left"/>
    </xf>
    <xf numFmtId="164" fontId="0" fillId="3" borderId="1" xfId="1" applyNumberFormat="1" applyFont="1" applyFill="1" applyBorder="1"/>
    <xf numFmtId="165" fontId="0" fillId="3" borderId="1" xfId="1" applyNumberFormat="1" applyFont="1" applyFill="1" applyBorder="1"/>
    <xf numFmtId="44" fontId="0" fillId="3" borderId="0" xfId="0" applyNumberFormat="1" applyFill="1"/>
    <xf numFmtId="44" fontId="4" fillId="0" borderId="0" xfId="0" applyNumberFormat="1" applyFont="1" applyBorder="1"/>
    <xf numFmtId="0" fontId="4" fillId="0" borderId="0" xfId="0" applyFont="1" applyBorder="1" applyAlignment="1">
      <alignment horizontal="center" vertical="center" wrapText="1"/>
    </xf>
    <xf numFmtId="44" fontId="0" fillId="0" borderId="0" xfId="0" applyNumberFormat="1" applyFill="1"/>
    <xf numFmtId="0" fontId="6" fillId="0" borderId="4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4" xfId="0" applyFill="1" applyBorder="1" applyAlignment="1">
      <alignment horizontal="center" vertical="center" wrapText="1"/>
    </xf>
    <xf numFmtId="0" fontId="0" fillId="5" borderId="1" xfId="0" applyFill="1" applyBorder="1"/>
    <xf numFmtId="44" fontId="0" fillId="0" borderId="0" xfId="2" applyFont="1"/>
    <xf numFmtId="44" fontId="4" fillId="2" borderId="1" xfId="2" applyFont="1" applyFill="1" applyBorder="1"/>
    <xf numFmtId="44" fontId="4" fillId="5" borderId="0" xfId="0" applyNumberFormat="1" applyFont="1" applyFill="1"/>
    <xf numFmtId="44" fontId="4" fillId="0" borderId="0" xfId="0" applyNumberFormat="1" applyFont="1" applyBorder="1" applyAlignment="1">
      <alignment horizontal="center" vertical="center" wrapText="1"/>
    </xf>
    <xf numFmtId="44" fontId="0" fillId="6" borderId="0" xfId="0" applyNumberFormat="1" applyFill="1"/>
    <xf numFmtId="44" fontId="0" fillId="6" borderId="1" xfId="2" applyFont="1" applyFill="1" applyBorder="1"/>
    <xf numFmtId="0" fontId="0" fillId="0" borderId="1" xfId="0" applyBorder="1" applyAlignment="1">
      <alignment horizontal="center"/>
    </xf>
    <xf numFmtId="167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6</xdr:col>
      <xdr:colOff>30480</xdr:colOff>
      <xdr:row>44</xdr:row>
      <xdr:rowOff>83820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5120640"/>
          <a:ext cx="5547360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les cadres :  X -&gt; MS</a:t>
          </a:r>
          <a:r>
            <a:rPr lang="fr-FR" sz="1100" baseline="0"/>
            <a:t> S2 DE N+1</a:t>
          </a:r>
          <a:endParaRPr lang="fr-FR" sz="1100"/>
        </a:p>
        <a:p>
          <a:r>
            <a:rPr lang="fr-FR" sz="1100"/>
            <a:t>MS</a:t>
          </a:r>
          <a:r>
            <a:rPr lang="fr-FR" sz="1100" baseline="0"/>
            <a:t> N+1 = MS N *1,02</a:t>
          </a:r>
        </a:p>
        <a:p>
          <a:r>
            <a:rPr lang="fr-FR" sz="1100" baseline="0"/>
            <a:t>MS N+1 =&gt;   (4866 + X)  = (4782+4842)*1,02</a:t>
          </a:r>
        </a:p>
        <a:p>
          <a:r>
            <a:rPr lang="fr-FR" sz="1100" baseline="0"/>
            <a:t>MS N+1 =&gt; X = (9816,48-4866)  =&gt;  4950,48€</a:t>
          </a:r>
        </a:p>
        <a:p>
          <a:r>
            <a:rPr lang="fr-FR" sz="1100" baseline="0"/>
            <a:t>Augmentation au 1/07N+1 =&gt;  4950,48/4866  =&gt;  1,736% </a:t>
          </a:r>
        </a:p>
        <a:p>
          <a:endParaRPr lang="fr-FR" sz="1100" baseline="0"/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non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cadres : X -&gt; MS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S2 DE N+1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N+1 = MS N *1,04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 N+1 =&gt;   (14209 + X)  = (13692+14115)*1,04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 N+1 =&gt; X = (28919,28-14209)  =&gt;  14710,28€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Augmentation au 1/07N+1 =&gt;  14710,28/14209  =&gt;  3,527% -1,5%  =&gt; 2,027%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32"/>
  <sheetViews>
    <sheetView showGridLines="0" zoomScale="200" zoomScaleNormal="200" workbookViewId="0">
      <selection activeCell="D14" sqref="D14:D15"/>
    </sheetView>
  </sheetViews>
  <sheetFormatPr baseColWidth="10" defaultRowHeight="14.4" x14ac:dyDescent="0.3"/>
  <cols>
    <col min="1" max="1" width="15.6640625" customWidth="1"/>
    <col min="3" max="3" width="14.6640625" customWidth="1"/>
    <col min="5" max="5" width="15.33203125" customWidth="1"/>
    <col min="7" max="7" width="14.33203125" customWidth="1"/>
    <col min="9" max="9" width="17.33203125" customWidth="1"/>
    <col min="13" max="13" width="15.109375" customWidth="1"/>
  </cols>
  <sheetData>
    <row r="3" spans="1:7" x14ac:dyDescent="0.3">
      <c r="A3" s="1"/>
      <c r="B3" s="47" t="s">
        <v>3</v>
      </c>
      <c r="C3" s="47"/>
      <c r="D3" s="47" t="s">
        <v>2</v>
      </c>
      <c r="E3" s="47"/>
      <c r="F3" s="47" t="s">
        <v>4</v>
      </c>
      <c r="G3" s="47"/>
    </row>
    <row r="4" spans="1:7" ht="28.8" x14ac:dyDescent="0.3">
      <c r="B4" s="10" t="s">
        <v>16</v>
      </c>
      <c r="C4" s="10" t="s">
        <v>17</v>
      </c>
      <c r="D4" s="10" t="s">
        <v>16</v>
      </c>
      <c r="E4" s="10" t="s">
        <v>17</v>
      </c>
      <c r="F4" s="10" t="s">
        <v>16</v>
      </c>
      <c r="G4" s="10" t="s">
        <v>17</v>
      </c>
    </row>
    <row r="5" spans="1:7" x14ac:dyDescent="0.3">
      <c r="A5" s="1" t="s">
        <v>0</v>
      </c>
      <c r="B5" s="2">
        <f>100*1.01*1.0075/100</f>
        <v>1.0175750000000001</v>
      </c>
      <c r="C5" s="30">
        <f>B5-1</f>
        <v>1.7575000000000118E-2</v>
      </c>
      <c r="D5" s="2">
        <f>((100*6+100*4*1.01+(101*1.0075*2)))/1200</f>
        <v>1.0062625000000001</v>
      </c>
      <c r="E5" s="31">
        <f>D5-1</f>
        <v>6.2625000000000597E-3</v>
      </c>
      <c r="F5" s="2">
        <f>B5/D5</f>
        <v>1.0112420963714737</v>
      </c>
      <c r="G5" s="30">
        <f>F5-1</f>
        <v>1.1242096371473664E-2</v>
      </c>
    </row>
    <row r="6" spans="1:7" x14ac:dyDescent="0.3">
      <c r="A6" s="1" t="s">
        <v>1</v>
      </c>
      <c r="B6" s="2">
        <f>100*1.0275*1.01/100</f>
        <v>1.0377750000000001</v>
      </c>
      <c r="C6" s="30">
        <f>B6-1</f>
        <v>3.7775000000000114E-2</v>
      </c>
      <c r="D6" s="2">
        <f>((100*6+(100*1.0275*4)+(102.75*1.01*2)))/1200</f>
        <v>1.0154625000000002</v>
      </c>
      <c r="E6" s="31">
        <f>D6-1</f>
        <v>1.5462500000000157E-2</v>
      </c>
      <c r="F6" s="2">
        <f>B6/D6</f>
        <v>1.0219727464086561</v>
      </c>
      <c r="G6" s="30">
        <f>F6-1</f>
        <v>2.1972746408656096E-2</v>
      </c>
    </row>
    <row r="12" spans="1:7" x14ac:dyDescent="0.3">
      <c r="A12" s="50" t="s">
        <v>13</v>
      </c>
      <c r="B12" s="50"/>
      <c r="C12" s="50"/>
      <c r="D12" s="50"/>
      <c r="E12" s="50"/>
    </row>
    <row r="13" spans="1:7" x14ac:dyDescent="0.3">
      <c r="A13" s="3" t="s">
        <v>7</v>
      </c>
      <c r="B13" s="4">
        <v>4782</v>
      </c>
      <c r="C13" s="1" t="s">
        <v>5</v>
      </c>
      <c r="D13" s="5">
        <v>4782</v>
      </c>
      <c r="E13" s="3" t="s">
        <v>11</v>
      </c>
    </row>
    <row r="14" spans="1:7" x14ac:dyDescent="0.3">
      <c r="A14" s="3" t="s">
        <v>6</v>
      </c>
      <c r="B14" s="4">
        <f>4782*1.01</f>
        <v>4829.82</v>
      </c>
      <c r="C14" s="1" t="s">
        <v>8</v>
      </c>
      <c r="D14" s="48">
        <f>(4830*4+4866*2)/6</f>
        <v>4842</v>
      </c>
      <c r="E14" s="49" t="s">
        <v>12</v>
      </c>
    </row>
    <row r="15" spans="1:7" x14ac:dyDescent="0.3">
      <c r="A15" s="3" t="s">
        <v>9</v>
      </c>
      <c r="B15" s="4">
        <f>B14*1.0075</f>
        <v>4866.0436499999996</v>
      </c>
      <c r="C15" s="1" t="s">
        <v>10</v>
      </c>
      <c r="D15" s="48"/>
      <c r="E15" s="49"/>
    </row>
    <row r="25" spans="1:5" x14ac:dyDescent="0.3">
      <c r="A25" s="50" t="s">
        <v>14</v>
      </c>
      <c r="B25" s="50"/>
      <c r="C25" s="50"/>
      <c r="D25" s="50"/>
      <c r="E25" s="50"/>
    </row>
    <row r="26" spans="1:5" x14ac:dyDescent="0.3">
      <c r="A26" s="3" t="s">
        <v>7</v>
      </c>
      <c r="B26" s="4">
        <v>13692</v>
      </c>
      <c r="C26" s="1" t="s">
        <v>5</v>
      </c>
      <c r="D26" s="6">
        <f>+B26</f>
        <v>13692</v>
      </c>
      <c r="E26" s="3" t="s">
        <v>11</v>
      </c>
    </row>
    <row r="27" spans="1:5" x14ac:dyDescent="0.3">
      <c r="A27" s="3" t="s">
        <v>6</v>
      </c>
      <c r="B27" s="4">
        <f>B26*1.0275</f>
        <v>14068.53</v>
      </c>
      <c r="C27" s="1" t="s">
        <v>8</v>
      </c>
      <c r="D27" s="48">
        <f>((B28*2)+(B27*4))/6</f>
        <v>14115.4251</v>
      </c>
      <c r="E27" s="49" t="s">
        <v>12</v>
      </c>
    </row>
    <row r="28" spans="1:5" x14ac:dyDescent="0.3">
      <c r="A28" s="3" t="s">
        <v>9</v>
      </c>
      <c r="B28" s="4">
        <f>B27*1.01</f>
        <v>14209.215300000002</v>
      </c>
      <c r="C28" s="1" t="s">
        <v>10</v>
      </c>
      <c r="D28" s="48"/>
      <c r="E28" s="49"/>
    </row>
    <row r="30" spans="1:5" x14ac:dyDescent="0.3">
      <c r="A30" s="50" t="s">
        <v>15</v>
      </c>
      <c r="B30" s="50"/>
      <c r="C30" s="50"/>
      <c r="D30" s="50"/>
      <c r="E30" s="50"/>
    </row>
    <row r="31" spans="1:5" x14ac:dyDescent="0.3">
      <c r="A31" s="3" t="s">
        <v>7</v>
      </c>
      <c r="B31" s="4">
        <f>+B28</f>
        <v>14209.215300000002</v>
      </c>
      <c r="C31" s="1" t="s">
        <v>5</v>
      </c>
      <c r="D31" s="6">
        <f>+B31</f>
        <v>14209.215300000002</v>
      </c>
      <c r="E31" s="3" t="s">
        <v>11</v>
      </c>
    </row>
    <row r="32" spans="1:5" x14ac:dyDescent="0.3">
      <c r="A32" s="3" t="s">
        <v>6</v>
      </c>
      <c r="B32" s="4">
        <f>+B31*1.015</f>
        <v>14422.3535295</v>
      </c>
      <c r="C32" s="1" t="s">
        <v>5</v>
      </c>
      <c r="D32" s="7">
        <f>+B32</f>
        <v>14422.3535295</v>
      </c>
      <c r="E32" s="8" t="s">
        <v>12</v>
      </c>
    </row>
  </sheetData>
  <mergeCells count="10">
    <mergeCell ref="D27:D28"/>
    <mergeCell ref="E27:E28"/>
    <mergeCell ref="A30:E30"/>
    <mergeCell ref="D3:E3"/>
    <mergeCell ref="B3:C3"/>
    <mergeCell ref="F3:G3"/>
    <mergeCell ref="D14:D15"/>
    <mergeCell ref="E14:E15"/>
    <mergeCell ref="A12:E12"/>
    <mergeCell ref="A25:E25"/>
  </mergeCell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K40"/>
  <sheetViews>
    <sheetView showGridLines="0" tabSelected="1" zoomScale="150" zoomScaleNormal="150" workbookViewId="0">
      <selection activeCell="B27" sqref="B27"/>
    </sheetView>
  </sheetViews>
  <sheetFormatPr baseColWidth="10" defaultRowHeight="14.4" x14ac:dyDescent="0.3"/>
  <cols>
    <col min="1" max="1" width="23.6640625" customWidth="1"/>
    <col min="2" max="2" width="14.109375" bestFit="1" customWidth="1"/>
    <col min="3" max="3" width="21.6640625" customWidth="1"/>
    <col min="4" max="4" width="18.33203125" bestFit="1" customWidth="1"/>
    <col min="5" max="5" width="20.33203125" customWidth="1"/>
    <col min="6" max="6" width="14.6640625" bestFit="1" customWidth="1"/>
    <col min="7" max="7" width="13.5546875" customWidth="1"/>
    <col min="8" max="8" width="5.5546875" customWidth="1"/>
    <col min="9" max="9" width="34.5546875" customWidth="1"/>
    <col min="11" max="11" width="41.109375" customWidth="1"/>
  </cols>
  <sheetData>
    <row r="3" spans="1:11" ht="57.6" x14ac:dyDescent="0.3">
      <c r="A3" s="1"/>
      <c r="B3" s="24" t="s">
        <v>43</v>
      </c>
      <c r="C3" s="1" t="s">
        <v>32</v>
      </c>
      <c r="D3" s="24" t="s">
        <v>41</v>
      </c>
      <c r="E3" s="16" t="s">
        <v>39</v>
      </c>
      <c r="F3" s="16" t="s">
        <v>40</v>
      </c>
    </row>
    <row r="4" spans="1:11" x14ac:dyDescent="0.3">
      <c r="A4" s="1" t="s">
        <v>18</v>
      </c>
      <c r="B4" s="11">
        <v>6089</v>
      </c>
      <c r="C4" s="1">
        <v>3</v>
      </c>
      <c r="D4" s="11">
        <f>B4*C4*12</f>
        <v>219204</v>
      </c>
      <c r="E4" s="52">
        <f>(100*4+(100*1.005)*4+(100.5*1.005*4))/1200</f>
        <v>1.0050083333333333</v>
      </c>
      <c r="F4" s="11">
        <f>D4*$E$4</f>
        <v>220301.84669999999</v>
      </c>
    </row>
    <row r="5" spans="1:11" x14ac:dyDescent="0.3">
      <c r="A5" s="1" t="s">
        <v>19</v>
      </c>
      <c r="B5" s="11">
        <v>4368</v>
      </c>
      <c r="C5" s="1">
        <v>5</v>
      </c>
      <c r="D5" s="11">
        <f t="shared" ref="D5:D9" si="0">B5*C5*12</f>
        <v>262080</v>
      </c>
      <c r="E5" s="52"/>
      <c r="F5" s="11">
        <f t="shared" ref="F5:F9" si="1">D5*$E$4</f>
        <v>263392.58399999997</v>
      </c>
    </row>
    <row r="6" spans="1:11" x14ac:dyDescent="0.3">
      <c r="A6" s="1" t="s">
        <v>20</v>
      </c>
      <c r="B6" s="11">
        <v>4121</v>
      </c>
      <c r="C6" s="1">
        <v>5</v>
      </c>
      <c r="D6" s="11">
        <f t="shared" si="0"/>
        <v>247260</v>
      </c>
      <c r="E6" s="52"/>
      <c r="F6" s="11">
        <f t="shared" si="1"/>
        <v>248498.36049999998</v>
      </c>
    </row>
    <row r="7" spans="1:11" x14ac:dyDescent="0.3">
      <c r="A7" s="25" t="s">
        <v>21</v>
      </c>
      <c r="B7" s="42">
        <f>(3606*30-3750)/29</f>
        <v>3601.0344827586205</v>
      </c>
      <c r="C7" s="40">
        <v>29</v>
      </c>
      <c r="D7" s="26">
        <f t="shared" si="0"/>
        <v>1253160</v>
      </c>
      <c r="E7" s="52"/>
      <c r="F7" s="26">
        <f t="shared" si="1"/>
        <v>1259436.243</v>
      </c>
    </row>
    <row r="8" spans="1:11" x14ac:dyDescent="0.3">
      <c r="A8" s="25" t="s">
        <v>22</v>
      </c>
      <c r="B8" s="46">
        <f>(2060*14-3000-3000)/12</f>
        <v>1903.3333333333333</v>
      </c>
      <c r="C8" s="38">
        <v>12</v>
      </c>
      <c r="D8" s="26">
        <f t="shared" si="0"/>
        <v>274080</v>
      </c>
      <c r="E8" s="52"/>
      <c r="F8" s="26">
        <f>D8*$E$4</f>
        <v>275452.68400000001</v>
      </c>
    </row>
    <row r="9" spans="1:11" x14ac:dyDescent="0.3">
      <c r="A9" s="1" t="s">
        <v>23</v>
      </c>
      <c r="B9" s="11">
        <v>1648</v>
      </c>
      <c r="C9" s="1">
        <v>40</v>
      </c>
      <c r="D9" s="11">
        <f t="shared" si="0"/>
        <v>791040</v>
      </c>
      <c r="E9" s="52"/>
      <c r="F9" s="11">
        <f t="shared" si="1"/>
        <v>795001.79200000002</v>
      </c>
    </row>
    <row r="10" spans="1:11" x14ac:dyDescent="0.3">
      <c r="D10" s="32">
        <f>SUM(D4:D9)</f>
        <v>3046824</v>
      </c>
      <c r="F10" s="15">
        <f>SUM(F4:F9)</f>
        <v>3062083.5101999999</v>
      </c>
    </row>
    <row r="11" spans="1:11" x14ac:dyDescent="0.3">
      <c r="D11" s="32"/>
      <c r="F11" s="33"/>
      <c r="I11" s="34"/>
      <c r="J11" s="34"/>
      <c r="K11" s="34"/>
    </row>
    <row r="12" spans="1:11" x14ac:dyDescent="0.3">
      <c r="D12" s="35"/>
      <c r="F12" s="33"/>
      <c r="I12" s="34"/>
      <c r="J12" s="34"/>
      <c r="K12" s="34"/>
    </row>
    <row r="13" spans="1:11" x14ac:dyDescent="0.3">
      <c r="D13" s="35"/>
      <c r="F13" s="33"/>
      <c r="I13" s="34"/>
      <c r="J13" s="34"/>
      <c r="K13" s="34"/>
    </row>
    <row r="14" spans="1:11" x14ac:dyDescent="0.3">
      <c r="A14" s="51" t="s">
        <v>42</v>
      </c>
      <c r="B14" s="51"/>
      <c r="C14" s="51"/>
      <c r="D14" s="35"/>
      <c r="F14" s="33"/>
      <c r="I14" s="34"/>
      <c r="J14" s="34"/>
      <c r="K14" s="34"/>
    </row>
    <row r="15" spans="1:11" ht="23.25" customHeight="1" thickBot="1" x14ac:dyDescent="0.35">
      <c r="A15" s="17"/>
      <c r="B15" s="18" t="s">
        <v>33</v>
      </c>
      <c r="C15" s="36" t="s">
        <v>34</v>
      </c>
      <c r="D15" s="35"/>
      <c r="F15" s="33"/>
      <c r="I15" s="34"/>
      <c r="J15" s="34"/>
      <c r="K15" s="34"/>
    </row>
    <row r="16" spans="1:11" ht="15" thickBot="1" x14ac:dyDescent="0.35">
      <c r="A16" s="17" t="s">
        <v>18</v>
      </c>
      <c r="B16" s="18">
        <v>3</v>
      </c>
      <c r="C16" s="19">
        <v>6089</v>
      </c>
      <c r="D16" s="35"/>
      <c r="F16" s="33"/>
      <c r="I16" s="34"/>
      <c r="J16" s="34"/>
      <c r="K16" s="34"/>
    </row>
    <row r="17" spans="1:11" ht="15" thickBot="1" x14ac:dyDescent="0.35">
      <c r="A17" s="17" t="s">
        <v>19</v>
      </c>
      <c r="B17" s="18">
        <v>5</v>
      </c>
      <c r="C17" s="19">
        <v>4368</v>
      </c>
      <c r="D17" s="35"/>
      <c r="F17" s="33"/>
      <c r="I17" s="34"/>
      <c r="J17" s="34"/>
      <c r="K17" s="34"/>
    </row>
    <row r="18" spans="1:11" ht="15" thickBot="1" x14ac:dyDescent="0.35">
      <c r="A18" s="17" t="s">
        <v>35</v>
      </c>
      <c r="B18" s="18">
        <v>5</v>
      </c>
      <c r="C18" s="19">
        <v>4121</v>
      </c>
      <c r="D18" s="35"/>
      <c r="F18" s="33" t="s">
        <v>44</v>
      </c>
      <c r="I18" s="34"/>
      <c r="J18" s="34"/>
      <c r="K18" s="34"/>
    </row>
    <row r="19" spans="1:11" ht="15" thickBot="1" x14ac:dyDescent="0.35">
      <c r="A19" s="17" t="s">
        <v>36</v>
      </c>
      <c r="B19" s="39">
        <v>30</v>
      </c>
      <c r="C19" s="19">
        <v>3606</v>
      </c>
      <c r="D19" s="35">
        <f>+C19*B19</f>
        <v>108180</v>
      </c>
      <c r="E19" s="41">
        <v>3750</v>
      </c>
      <c r="F19" s="33">
        <f>+D19-E19</f>
        <v>104430</v>
      </c>
      <c r="G19" s="43">
        <f>F19/29</f>
        <v>3601.0344827586205</v>
      </c>
      <c r="I19" s="44"/>
      <c r="J19" s="34"/>
      <c r="K19" s="34"/>
    </row>
    <row r="20" spans="1:11" ht="15" thickBot="1" x14ac:dyDescent="0.35">
      <c r="A20" s="17" t="s">
        <v>22</v>
      </c>
      <c r="B20" s="37">
        <v>14</v>
      </c>
      <c r="C20" s="19">
        <v>2060</v>
      </c>
      <c r="D20" s="35">
        <f>2060*14</f>
        <v>28840</v>
      </c>
      <c r="E20" s="41">
        <f>3000*2</f>
        <v>6000</v>
      </c>
      <c r="F20" s="33">
        <f>+D20-E20</f>
        <v>22840</v>
      </c>
      <c r="G20" s="45">
        <f>F20/12</f>
        <v>1903.3333333333333</v>
      </c>
      <c r="I20" s="34"/>
      <c r="J20" s="34"/>
      <c r="K20" s="34"/>
    </row>
    <row r="21" spans="1:11" ht="15" thickBot="1" x14ac:dyDescent="0.35">
      <c r="A21" s="17" t="s">
        <v>37</v>
      </c>
      <c r="B21" s="18">
        <v>40</v>
      </c>
      <c r="C21" s="19">
        <v>1648</v>
      </c>
      <c r="D21" s="35"/>
      <c r="F21" s="33" t="s">
        <v>45</v>
      </c>
      <c r="I21" s="34"/>
      <c r="J21" s="34"/>
      <c r="K21" s="34"/>
    </row>
    <row r="22" spans="1:11" ht="15" thickBot="1" x14ac:dyDescent="0.35">
      <c r="A22" s="20" t="s">
        <v>38</v>
      </c>
      <c r="B22" s="21">
        <v>97</v>
      </c>
      <c r="C22" s="21"/>
      <c r="D22" s="35"/>
      <c r="F22" s="33"/>
      <c r="I22" s="34"/>
      <c r="J22" s="34"/>
      <c r="K22" s="34"/>
    </row>
    <row r="23" spans="1:11" x14ac:dyDescent="0.3">
      <c r="D23" s="35"/>
      <c r="F23" s="33"/>
      <c r="I23" s="34"/>
      <c r="J23" s="34"/>
      <c r="K23" s="34"/>
    </row>
    <row r="24" spans="1:11" x14ac:dyDescent="0.3">
      <c r="D24" s="35"/>
      <c r="F24" s="33"/>
      <c r="I24" s="34"/>
      <c r="J24" s="34"/>
      <c r="K24" s="34"/>
    </row>
    <row r="25" spans="1:11" x14ac:dyDescent="0.3">
      <c r="D25" s="35"/>
      <c r="F25" s="33"/>
      <c r="I25" s="34"/>
      <c r="J25" s="34"/>
      <c r="K25" s="34"/>
    </row>
    <row r="26" spans="1:11" x14ac:dyDescent="0.3">
      <c r="D26" s="35"/>
      <c r="F26" s="33"/>
      <c r="I26" s="34"/>
      <c r="J26" s="34"/>
      <c r="K26" s="34"/>
    </row>
    <row r="28" spans="1:11" x14ac:dyDescent="0.3">
      <c r="A28" s="1" t="s">
        <v>28</v>
      </c>
      <c r="B28" s="9" t="str">
        <f>B3</f>
        <v>SM dec N+1 = Sal debut Jan N+2</v>
      </c>
      <c r="C28" s="9" t="s">
        <v>26</v>
      </c>
      <c r="D28" s="9" t="s">
        <v>27</v>
      </c>
    </row>
    <row r="29" spans="1:11" x14ac:dyDescent="0.3">
      <c r="A29" s="1" t="s">
        <v>21</v>
      </c>
      <c r="B29" s="9">
        <v>3750</v>
      </c>
      <c r="C29" s="9">
        <v>9</v>
      </c>
      <c r="D29" s="28">
        <f>3750*4+(3750*1.005*4)+(3750*1.005*1*1.005)</f>
        <v>33862.59375</v>
      </c>
    </row>
    <row r="30" spans="1:11" x14ac:dyDescent="0.3">
      <c r="A30" s="1" t="s">
        <v>24</v>
      </c>
      <c r="B30" s="9">
        <v>3000</v>
      </c>
      <c r="C30" s="9">
        <v>3</v>
      </c>
      <c r="D30" s="12">
        <f>B30*C30</f>
        <v>9000</v>
      </c>
    </row>
    <row r="31" spans="1:11" x14ac:dyDescent="0.3">
      <c r="A31" s="1" t="s">
        <v>25</v>
      </c>
      <c r="B31" s="9">
        <v>3000</v>
      </c>
      <c r="C31" s="9">
        <v>11</v>
      </c>
      <c r="D31" s="12">
        <f>3000*4+(3000*1.005*4)+(3000*1.005*1.005*3)</f>
        <v>33150.224999999999</v>
      </c>
    </row>
    <row r="32" spans="1:11" x14ac:dyDescent="0.3">
      <c r="D32" s="15">
        <f>SUM(D29:D31)</f>
        <v>76012.818750000006</v>
      </c>
      <c r="F32">
        <v>3750</v>
      </c>
      <c r="G32" s="22">
        <v>4</v>
      </c>
      <c r="I32" s="27">
        <f>F32*G32</f>
        <v>15000</v>
      </c>
    </row>
    <row r="33" spans="1:9" x14ac:dyDescent="0.3">
      <c r="F33">
        <f>F32*1.005</f>
        <v>3768.7499999999995</v>
      </c>
      <c r="G33" s="22">
        <v>4</v>
      </c>
      <c r="I33" s="27">
        <f>F33*G33</f>
        <v>15074.999999999998</v>
      </c>
    </row>
    <row r="34" spans="1:9" x14ac:dyDescent="0.3">
      <c r="A34" s="9" t="s">
        <v>29</v>
      </c>
      <c r="B34" s="9" t="s">
        <v>31</v>
      </c>
      <c r="C34" s="9" t="str">
        <f>C28</f>
        <v>Nb de mois</v>
      </c>
      <c r="D34" s="9" t="str">
        <f>D28</f>
        <v>MS de N+2</v>
      </c>
      <c r="G34" s="22"/>
      <c r="I34" s="27"/>
    </row>
    <row r="35" spans="1:9" x14ac:dyDescent="0.3">
      <c r="A35" s="9" t="str">
        <f>A29</f>
        <v>Technicien</v>
      </c>
      <c r="B35" s="13">
        <v>3500</v>
      </c>
      <c r="C35" s="14">
        <v>3</v>
      </c>
      <c r="D35" s="12">
        <f>B35*C35</f>
        <v>10500</v>
      </c>
      <c r="I35" s="29"/>
    </row>
    <row r="36" spans="1:9" x14ac:dyDescent="0.3">
      <c r="A36" s="9" t="s">
        <v>30</v>
      </c>
      <c r="B36" s="13">
        <v>2800</v>
      </c>
      <c r="C36" s="14">
        <v>9</v>
      </c>
      <c r="D36" s="12">
        <f>2800*1+(2800*4*1.005)+(2800*4*1.005*1.005)</f>
        <v>25368.279999999995</v>
      </c>
    </row>
    <row r="37" spans="1:9" x14ac:dyDescent="0.3">
      <c r="D37" s="15">
        <f>SUM(D35:D36)</f>
        <v>35868.28</v>
      </c>
    </row>
    <row r="40" spans="1:9" ht="18" x14ac:dyDescent="0.35">
      <c r="D40" s="23">
        <f>F10+D32+D37</f>
        <v>3173964.6089499998</v>
      </c>
    </row>
  </sheetData>
  <mergeCells count="2">
    <mergeCell ref="A14:C14"/>
    <mergeCell ref="E4:E9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593fe474a2b626ff8fae06f532e25cf9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c42e6d508d3efa228f8e71bc8e9b8256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Props1.xml><?xml version="1.0" encoding="utf-8"?>
<ds:datastoreItem xmlns:ds="http://schemas.openxmlformats.org/officeDocument/2006/customXml" ds:itemID="{C5E45087-1049-47AF-8241-339204F62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DABC4C-EB38-44D0-86E9-57F5DBF641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CEEFA-E941-4106-86AB-56BC682E1E8E}">
  <ds:schemaRefs>
    <ds:schemaRef ds:uri="1b6f2b70-d5a1-4544-a145-5b4293f13656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Houblon</vt:lpstr>
      <vt:lpstr>Feuil3</vt:lpstr>
      <vt:lpstr>Houblon!Zone_d_impression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 Noel</cp:lastModifiedBy>
  <cp:lastPrinted>2019-05-27T08:10:54Z</cp:lastPrinted>
  <dcterms:created xsi:type="dcterms:W3CDTF">2019-03-05T17:23:14Z</dcterms:created>
  <dcterms:modified xsi:type="dcterms:W3CDTF">2024-05-16T12:08:03Z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971dc5ee-3a88-4368-aa9f-2250c6c20b9e</vt:lpwstr>
  </property>
  <property fmtid="{D5CDD505-2E9C-101B-9397-08002B2CF9AE}" pid="3" name="ContentTypeId">
    <vt:lpwstr>0x01010021529F2146C75048A695AB3F03D98EF9</vt:lpwstr>
  </property>
</Properties>
</file>