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4107\Theme 1 Prévision des ventes et budget vente et decaissement\"/>
    </mc:Choice>
  </mc:AlternateContent>
  <xr:revisionPtr revIDLastSave="1" documentId="11_84F8B2847AAD196275E547A72C553FF844041AB3" xr6:coauthVersionLast="36" xr6:coauthVersionMax="36" xr10:uidLastSave="{ED6D4A5B-7D45-4348-BD8A-80257CC1F996}"/>
  <bookViews>
    <workbookView xWindow="0" yWindow="0" windowWidth="23040" windowHeight="939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6" i="1" s="1"/>
  <c r="B72" i="1"/>
  <c r="F48" i="1"/>
  <c r="F50" i="1" s="1"/>
  <c r="B51" i="1"/>
  <c r="B3" i="1"/>
  <c r="C49" i="1"/>
  <c r="C51" i="1" s="1"/>
  <c r="D51" i="1" s="1"/>
  <c r="C48" i="1"/>
  <c r="B48" i="1"/>
  <c r="B50" i="1" s="1"/>
  <c r="C50" i="1" l="1"/>
  <c r="D50" i="1" s="1"/>
  <c r="O69" i="1"/>
  <c r="O66" i="1"/>
  <c r="O68" i="1" s="1"/>
  <c r="O70" i="1" l="1"/>
  <c r="H79" i="1"/>
  <c r="C68" i="1"/>
  <c r="C77" i="1" s="1"/>
  <c r="D68" i="1"/>
  <c r="E79" i="1" s="1"/>
  <c r="E68" i="1"/>
  <c r="E77" i="1" s="1"/>
  <c r="B68" i="1"/>
  <c r="C79" i="1" s="1"/>
  <c r="D77" i="1" l="1"/>
  <c r="E78" i="1"/>
  <c r="E80" i="1" s="1"/>
  <c r="D79" i="1"/>
  <c r="D78" i="1"/>
  <c r="B77" i="1"/>
  <c r="D80" i="1" l="1"/>
  <c r="E72" i="1" l="1"/>
  <c r="C80" i="1"/>
  <c r="B71" i="1"/>
  <c r="B76" i="1" s="1"/>
  <c r="E71" i="1" l="1"/>
  <c r="D33" i="1"/>
  <c r="E33" i="1" s="1"/>
  <c r="D32" i="1"/>
  <c r="E32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9" i="1"/>
  <c r="E9" i="1" s="1"/>
  <c r="C27" i="1"/>
  <c r="C26" i="1"/>
  <c r="F33" i="1" l="1"/>
  <c r="D27" i="1"/>
  <c r="D26" i="1"/>
  <c r="E26" i="1" s="1"/>
  <c r="E27" i="1"/>
  <c r="B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J7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2 268 000 = 90% du CA TTC de décembre
CA total de décembre :
2 268 000 / 0,90 =
2 520 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 Janvier : 1 920 000
Mag Sport : 60%
CA janvier pour les Mag Sport : 1 152 000€
Paiement est à 30 jours
1 152 000€ -&gt; Encaissé en Février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<sst xmlns="http://schemas.openxmlformats.org/spreadsheetml/2006/main" count="72" uniqueCount="64">
  <si>
    <t>1er trimestre 2016</t>
  </si>
  <si>
    <t>2ème trimestre 2016</t>
  </si>
  <si>
    <t>3ème trimestre 2016</t>
  </si>
  <si>
    <t>4ème trimestre 2016</t>
  </si>
  <si>
    <t>1er trimestre 2017</t>
  </si>
  <si>
    <t>2ème trimestre 2017</t>
  </si>
  <si>
    <t>3ème trimestre 2017</t>
  </si>
  <si>
    <t>4ème trimestre 2017</t>
  </si>
  <si>
    <t>1er trimestre 2018</t>
  </si>
  <si>
    <t>2ème trimestre 2018</t>
  </si>
  <si>
    <t>3ème trimestre 2018</t>
  </si>
  <si>
    <t>4ème trimestre 2018</t>
  </si>
  <si>
    <t>1er trimestre 2019</t>
  </si>
  <si>
    <t>4e trimestre 2019</t>
  </si>
  <si>
    <t>Vente en quantité</t>
  </si>
  <si>
    <t>Prix de vente</t>
  </si>
  <si>
    <t>Années</t>
  </si>
  <si>
    <t>Janvier</t>
  </si>
  <si>
    <t>Février</t>
  </si>
  <si>
    <t>Mars</t>
  </si>
  <si>
    <t>Avril</t>
  </si>
  <si>
    <t>CA HT</t>
  </si>
  <si>
    <t>% du CA</t>
  </si>
  <si>
    <t>Créances</t>
  </si>
  <si>
    <t>Nov</t>
  </si>
  <si>
    <t>Magasins de sport</t>
  </si>
  <si>
    <t>Magasins spécialisés</t>
  </si>
  <si>
    <t>Dec</t>
  </si>
  <si>
    <t>TOTAL</t>
  </si>
  <si>
    <t>CV</t>
  </si>
  <si>
    <t>CA TTC</t>
  </si>
  <si>
    <t>Bilan</t>
  </si>
  <si>
    <t>CA</t>
  </si>
  <si>
    <t>MCV</t>
  </si>
  <si>
    <t>METHODE DU TREND</t>
  </si>
  <si>
    <t>Résultat de la droite linéaire</t>
  </si>
  <si>
    <t>Réel</t>
  </si>
  <si>
    <t>Indices saisonniers</t>
  </si>
  <si>
    <t>Indices saisonniers moyens</t>
  </si>
  <si>
    <t>Prévisions saisonalisées</t>
  </si>
  <si>
    <t>Coefficient d'élasticité</t>
  </si>
  <si>
    <t>Variation en valeur</t>
  </si>
  <si>
    <t>Variation en %</t>
  </si>
  <si>
    <t>Prix</t>
  </si>
  <si>
    <t>Coût variable</t>
  </si>
  <si>
    <t>Quantité</t>
  </si>
  <si>
    <t>Marge sur CV unitaire</t>
  </si>
  <si>
    <t>Marge sur CV globale</t>
  </si>
  <si>
    <t>IMPACT</t>
  </si>
  <si>
    <t xml:space="preserve">Magasins de sport(30 jours) </t>
  </si>
  <si>
    <t>Magasin spécialisés (60 jours)</t>
  </si>
  <si>
    <t>Particuliers (comptant)</t>
  </si>
  <si>
    <t>Comptant - Particuliers</t>
  </si>
  <si>
    <t>30 Jours  - Mag Sport</t>
  </si>
  <si>
    <t>60 Jours - Mag specialisés</t>
  </si>
  <si>
    <t>Nov  -  Encaissée en janvier</t>
  </si>
  <si>
    <t xml:space="preserve">Coefficient de correlation : </t>
  </si>
  <si>
    <t xml:space="preserve">Question 1 : </t>
  </si>
  <si>
    <t>Puisque le coefficient de correlation est largmeent en dessous de 1 il faut utilisr les indices saisionniers</t>
  </si>
  <si>
    <t>Comme nous ne connaissons pas les ventes globales de 2019, il est nécessaire d'utiliser la méthode de TREND</t>
  </si>
  <si>
    <t xml:space="preserve">Question 2 : </t>
  </si>
  <si>
    <t xml:space="preserve">Question 3 : </t>
  </si>
  <si>
    <t xml:space="preserve">Question 4 : </t>
  </si>
  <si>
    <t xml:space="preserve">Question 5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</si>
</sst>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00%"/>
    <numFmt numFmtId="165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6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/>
    <xf numFmtId="1" fontId="0" fillId="0" borderId="1" xfId="0" applyNumberFormat="1" applyBorder="1"/>
    <xf numFmtId="44" fontId="0" fillId="0" borderId="0" xfId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10" fontId="0" fillId="0" borderId="1" xfId="2" applyNumberFormat="1" applyFont="1" applyBorder="1"/>
    <xf numFmtId="164" fontId="0" fillId="0" borderId="1" xfId="2" applyNumberFormat="1" applyFont="1" applyBorder="1"/>
    <xf numFmtId="9" fontId="0" fillId="0" borderId="1" xfId="0" applyNumberFormat="1" applyBorder="1"/>
    <xf numFmtId="0" fontId="0" fillId="0" borderId="4" xfId="0" applyBorder="1"/>
    <xf numFmtId="165" fontId="0" fillId="0" borderId="4" xfId="0" applyNumberFormat="1" applyBorder="1"/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0" fillId="2" borderId="1" xfId="0" applyFill="1" applyBorder="1"/>
    <xf numFmtId="1" fontId="0" fillId="2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2" fillId="0" borderId="1" xfId="2" applyNumberFormat="1" applyFont="1" applyBorder="1"/>
    <xf numFmtId="1" fontId="2" fillId="0" borderId="1" xfId="1" applyNumberFormat="1" applyFont="1" applyBorder="1"/>
    <xf numFmtId="9" fontId="2" fillId="0" borderId="1" xfId="0" applyNumberFormat="1" applyFont="1" applyFill="1" applyBorder="1"/>
    <xf numFmtId="165" fontId="2" fillId="0" borderId="1" xfId="0" applyNumberFormat="1" applyFont="1" applyBorder="1"/>
    <xf numFmtId="0" fontId="0" fillId="2" borderId="0" xfId="0" applyFill="1"/>
    <xf numFmtId="0" fontId="3" fillId="0" borderId="1" xfId="0" applyFont="1" applyBorder="1"/>
    <xf numFmtId="0" fontId="3" fillId="5" borderId="1" xfId="0" applyFont="1" applyFill="1" applyBorder="1"/>
    <xf numFmtId="1" fontId="2" fillId="5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44" fontId="4" fillId="0" borderId="1" xfId="0" applyNumberFormat="1" applyFont="1" applyBorder="1"/>
    <xf numFmtId="44" fontId="2" fillId="2" borderId="1" xfId="1" applyFont="1" applyFill="1" applyBorder="1"/>
    <xf numFmtId="44" fontId="2" fillId="2" borderId="1" xfId="0" applyNumberFormat="1" applyFont="1" applyFill="1" applyBorder="1"/>
    <xf numFmtId="44" fontId="0" fillId="2" borderId="0" xfId="1" applyFont="1" applyFill="1"/>
    <xf numFmtId="165" fontId="0" fillId="6" borderId="1" xfId="0" applyNumberFormat="1" applyFill="1" applyBorder="1"/>
    <xf numFmtId="0" fontId="2" fillId="6" borderId="1" xfId="0" applyFont="1" applyFill="1" applyBorder="1" applyAlignment="1">
      <alignment horizontal="center"/>
    </xf>
    <xf numFmtId="9" fontId="2" fillId="6" borderId="1" xfId="0" applyNumberFormat="1" applyFont="1" applyFill="1" applyBorder="1" applyAlignment="1">
      <alignment horizontal="center"/>
    </xf>
    <xf numFmtId="165" fontId="0" fillId="7" borderId="1" xfId="0" applyNumberFormat="1" applyFill="1" applyBorder="1"/>
    <xf numFmtId="165" fontId="0" fillId="0" borderId="4" xfId="0" applyNumberFormat="1" applyFill="1" applyBorder="1"/>
    <xf numFmtId="0" fontId="2" fillId="4" borderId="1" xfId="0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9" fontId="0" fillId="5" borderId="1" xfId="0" applyNumberFormat="1" applyFill="1" applyBorder="1"/>
    <xf numFmtId="0" fontId="0" fillId="5" borderId="1" xfId="0" applyFill="1" applyBorder="1"/>
    <xf numFmtId="0" fontId="0" fillId="5" borderId="0" xfId="0" applyFill="1"/>
    <xf numFmtId="165" fontId="0" fillId="5" borderId="1" xfId="0" applyNumberFormat="1" applyFill="1" applyBorder="1"/>
    <xf numFmtId="165" fontId="3" fillId="0" borderId="1" xfId="1" applyNumberFormat="1" applyFont="1" applyBorder="1"/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7752234459064711"/>
                  <c:y val="-0.23407212987265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Feuil1!$A$9:$A$20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Feuil1!$C$9:$C$20</c:f>
              <c:numCache>
                <c:formatCode>General</c:formatCode>
                <c:ptCount val="12"/>
                <c:pt idx="0">
                  <c:v>26962</c:v>
                </c:pt>
                <c:pt idx="1">
                  <c:v>9623</c:v>
                </c:pt>
                <c:pt idx="2">
                  <c:v>4765</c:v>
                </c:pt>
                <c:pt idx="3">
                  <c:v>16547</c:v>
                </c:pt>
                <c:pt idx="4">
                  <c:v>31450</c:v>
                </c:pt>
                <c:pt idx="5">
                  <c:v>11236</c:v>
                </c:pt>
                <c:pt idx="6">
                  <c:v>5240</c:v>
                </c:pt>
                <c:pt idx="7">
                  <c:v>21650</c:v>
                </c:pt>
                <c:pt idx="8">
                  <c:v>33245</c:v>
                </c:pt>
                <c:pt idx="9">
                  <c:v>13247</c:v>
                </c:pt>
                <c:pt idx="10">
                  <c:v>6214</c:v>
                </c:pt>
                <c:pt idx="11">
                  <c:v>23470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2C-423B-9F3A-FD67A2E19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971872"/>
        <c:axId val="285973440"/>
      </c:scatterChart>
      <c:valAx>
        <c:axId val="28597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973440"/>
        <c:crosses val="autoZero"/>
        <c:crossBetween val="midCat"/>
      </c:valAx>
      <c:valAx>
        <c:axId val="28597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5971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210111</xdr:colOff>
      <xdr:row>4</xdr:row>
      <xdr:rowOff>30873</xdr:rowOff>
    </xdr:from>
    <xdr:to>
      <xdr:col>10</xdr:col>
      <xdr:colOff>0</xdr:colOff>
      <xdr:row>13</xdr:row>
      <xdr:rowOff>133070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982264</xdr:colOff>
      <xdr:row>34</xdr:row>
      <xdr:rowOff>144740</xdr:rowOff>
    </xdr:from>
    <xdr:to>
      <xdr:col>3</xdr:col>
      <xdr:colOff>257968</xdr:colOff>
      <xdr:row>43</xdr:row>
      <xdr:rowOff>29765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2264" y="6931303"/>
          <a:ext cx="3303985" cy="1581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-1,50  = (varD/5134)   /  (-10/250)</a:t>
          </a:r>
        </a:p>
        <a:p>
          <a:r>
            <a:rPr lang="fr-FR" sz="1100"/>
            <a:t>-1,50 = (varD/5134) / -0,04</a:t>
          </a:r>
        </a:p>
        <a:p>
          <a:r>
            <a:rPr lang="fr-FR" sz="1100"/>
            <a:t>0,06 = (varD/5314)</a:t>
          </a:r>
        </a:p>
        <a:p>
          <a:r>
            <a:rPr lang="fr-FR" sz="1100"/>
            <a:t>(0,06*5134) = VarD</a:t>
          </a:r>
        </a:p>
        <a:p>
          <a:r>
            <a:rPr lang="fr-FR" sz="1100"/>
            <a:t>VarD = 308</a:t>
          </a:r>
        </a:p>
        <a:p>
          <a:endParaRPr lang="fr-FR" sz="1100"/>
        </a:p>
        <a:p>
          <a:r>
            <a:rPr lang="fr-FR" sz="1100"/>
            <a:t>Demande de 2018  :</a:t>
          </a:r>
          <a:r>
            <a:rPr lang="fr-FR" sz="1100" baseline="0"/>
            <a:t> 5134 </a:t>
          </a:r>
        </a:p>
        <a:p>
          <a:r>
            <a:rPr lang="fr-FR" sz="1100" baseline="0"/>
            <a:t>Demande de 2019 : 5134 + 308 = 5442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showGridLines="0" tabSelected="1" topLeftCell="A50" zoomScale="96" zoomScaleNormal="96" workbookViewId="0">
      <selection activeCell="K50" sqref="K1:L1048576"/>
    </sheetView>
  </sheetViews>
  <sheetFormatPr baseColWidth="10" defaultRowHeight="15" x14ac:dyDescent="0.25"/>
  <cols>
    <col min="1" max="1" width="23.140625" customWidth="1"/>
    <col min="2" max="2" width="19.28515625" bestFit="1" customWidth="1"/>
    <col min="3" max="3" width="17.85546875" customWidth="1"/>
    <col min="4" max="4" width="18" bestFit="1" customWidth="1"/>
    <col min="5" max="5" width="13.85546875" bestFit="1" customWidth="1"/>
    <col min="6" max="6" width="13.28515625" bestFit="1" customWidth="1"/>
    <col min="8" max="8" width="6.5703125" customWidth="1"/>
    <col min="9" max="9" width="26.5703125" customWidth="1"/>
    <col min="10" max="10" width="14.85546875" bestFit="1" customWidth="1"/>
    <col min="15" max="15" width="14.28515625" bestFit="1" customWidth="1"/>
  </cols>
  <sheetData>
    <row r="1" spans="1:5" x14ac:dyDescent="0.25">
      <c r="A1" t="s">
        <v>57</v>
      </c>
    </row>
    <row r="3" spans="1:5" x14ac:dyDescent="0.25">
      <c r="A3" t="s">
        <v>56</v>
      </c>
      <c r="B3" s="34">
        <f>CORREL(A9:A20,C9:C20)</f>
        <v>4.7487339813501186E-2</v>
      </c>
    </row>
    <row r="4" spans="1:5" x14ac:dyDescent="0.25">
      <c r="A4" t="s">
        <v>58</v>
      </c>
      <c r="B4" s="34"/>
    </row>
    <row r="5" spans="1:5" x14ac:dyDescent="0.25">
      <c r="A5" t="s">
        <v>59</v>
      </c>
    </row>
    <row r="7" spans="1:5" x14ac:dyDescent="0.25">
      <c r="A7" s="57" t="s">
        <v>34</v>
      </c>
      <c r="B7" s="57"/>
      <c r="C7" s="57"/>
      <c r="D7" s="57"/>
      <c r="E7" s="57"/>
    </row>
    <row r="8" spans="1:5" ht="30" x14ac:dyDescent="0.25">
      <c r="A8" s="25"/>
      <c r="B8" s="25"/>
      <c r="C8" s="25" t="s">
        <v>36</v>
      </c>
      <c r="D8" s="26" t="s">
        <v>35</v>
      </c>
      <c r="E8" s="26" t="s">
        <v>37</v>
      </c>
    </row>
    <row r="9" spans="1:5" x14ac:dyDescent="0.25">
      <c r="A9" s="18">
        <v>1</v>
      </c>
      <c r="B9" s="18" t="s">
        <v>0</v>
      </c>
      <c r="C9" s="18">
        <v>26962</v>
      </c>
      <c r="D9" s="19">
        <f>134.18*A9+16099</f>
        <v>16233.18</v>
      </c>
      <c r="E9" s="18">
        <f>C9/D9</f>
        <v>1.6609191791133961</v>
      </c>
    </row>
    <row r="10" spans="1:5" x14ac:dyDescent="0.25">
      <c r="A10" s="2">
        <v>2</v>
      </c>
      <c r="B10" s="2" t="s">
        <v>1</v>
      </c>
      <c r="C10" s="2">
        <v>9623</v>
      </c>
      <c r="D10" s="7">
        <f t="shared" ref="D10:D20" si="0">134.18*A10+16099</f>
        <v>16367.36</v>
      </c>
      <c r="E10" s="2">
        <f t="shared" ref="E10:E20" si="1">C10/D10</f>
        <v>0.58793843356533981</v>
      </c>
    </row>
    <row r="11" spans="1:5" x14ac:dyDescent="0.25">
      <c r="A11" s="2">
        <v>3</v>
      </c>
      <c r="B11" s="2" t="s">
        <v>2</v>
      </c>
      <c r="C11" s="2">
        <v>4765</v>
      </c>
      <c r="D11" s="7">
        <f t="shared" si="0"/>
        <v>16501.54</v>
      </c>
      <c r="E11" s="2">
        <f t="shared" si="1"/>
        <v>0.28876092776795376</v>
      </c>
    </row>
    <row r="12" spans="1:5" x14ac:dyDescent="0.25">
      <c r="A12" s="20">
        <v>4</v>
      </c>
      <c r="B12" s="20" t="s">
        <v>3</v>
      </c>
      <c r="C12" s="20">
        <v>16547</v>
      </c>
      <c r="D12" s="21">
        <f t="shared" si="0"/>
        <v>16635.72</v>
      </c>
      <c r="E12" s="20">
        <f t="shared" si="1"/>
        <v>0.99466689749526915</v>
      </c>
    </row>
    <row r="13" spans="1:5" x14ac:dyDescent="0.25">
      <c r="A13" s="18">
        <v>5</v>
      </c>
      <c r="B13" s="18" t="s">
        <v>4</v>
      </c>
      <c r="C13" s="18">
        <v>31450</v>
      </c>
      <c r="D13" s="19">
        <f t="shared" si="0"/>
        <v>16769.900000000001</v>
      </c>
      <c r="E13" s="18">
        <f t="shared" si="1"/>
        <v>1.8753838722950045</v>
      </c>
    </row>
    <row r="14" spans="1:5" x14ac:dyDescent="0.25">
      <c r="A14" s="2">
        <v>6</v>
      </c>
      <c r="B14" s="2" t="s">
        <v>5</v>
      </c>
      <c r="C14" s="2">
        <v>11236</v>
      </c>
      <c r="D14" s="7">
        <f t="shared" si="0"/>
        <v>16904.080000000002</v>
      </c>
      <c r="E14" s="2">
        <f t="shared" si="1"/>
        <v>0.6646916010809224</v>
      </c>
    </row>
    <row r="15" spans="1:5" x14ac:dyDescent="0.25">
      <c r="A15" s="2">
        <v>7</v>
      </c>
      <c r="B15" s="2" t="s">
        <v>6</v>
      </c>
      <c r="C15" s="2">
        <v>5240</v>
      </c>
      <c r="D15" s="7">
        <f t="shared" si="0"/>
        <v>17038.259999999998</v>
      </c>
      <c r="E15" s="2">
        <f t="shared" si="1"/>
        <v>0.30754314114234671</v>
      </c>
    </row>
    <row r="16" spans="1:5" x14ac:dyDescent="0.25">
      <c r="A16" s="20">
        <v>8</v>
      </c>
      <c r="B16" s="20" t="s">
        <v>7</v>
      </c>
      <c r="C16" s="20">
        <v>21650</v>
      </c>
      <c r="D16" s="21">
        <f t="shared" si="0"/>
        <v>17172.439999999999</v>
      </c>
      <c r="E16" s="20">
        <f t="shared" si="1"/>
        <v>1.2607410478650676</v>
      </c>
    </row>
    <row r="17" spans="1:6" x14ac:dyDescent="0.25">
      <c r="A17" s="18">
        <v>9</v>
      </c>
      <c r="B17" s="18" t="s">
        <v>8</v>
      </c>
      <c r="C17" s="18">
        <v>33245</v>
      </c>
      <c r="D17" s="19">
        <f t="shared" si="0"/>
        <v>17306.62</v>
      </c>
      <c r="E17" s="18">
        <f t="shared" si="1"/>
        <v>1.920941235203639</v>
      </c>
    </row>
    <row r="18" spans="1:6" x14ac:dyDescent="0.25">
      <c r="A18" s="2">
        <v>10</v>
      </c>
      <c r="B18" s="2" t="s">
        <v>9</v>
      </c>
      <c r="C18" s="2">
        <v>13247</v>
      </c>
      <c r="D18" s="7">
        <f t="shared" si="0"/>
        <v>17440.8</v>
      </c>
      <c r="E18" s="2">
        <f t="shared" si="1"/>
        <v>0.7595408467501491</v>
      </c>
    </row>
    <row r="19" spans="1:6" x14ac:dyDescent="0.25">
      <c r="A19" s="2">
        <v>11</v>
      </c>
      <c r="B19" s="2" t="s">
        <v>10</v>
      </c>
      <c r="C19" s="2">
        <v>6214</v>
      </c>
      <c r="D19" s="7">
        <f t="shared" si="0"/>
        <v>17574.98</v>
      </c>
      <c r="E19" s="2">
        <f t="shared" si="1"/>
        <v>0.35357081487432701</v>
      </c>
    </row>
    <row r="20" spans="1:6" x14ac:dyDescent="0.25">
      <c r="A20" s="20">
        <v>12</v>
      </c>
      <c r="B20" s="20" t="s">
        <v>11</v>
      </c>
      <c r="C20" s="20">
        <v>23470</v>
      </c>
      <c r="D20" s="21">
        <f t="shared" si="0"/>
        <v>17709.16</v>
      </c>
      <c r="E20" s="20">
        <f t="shared" si="1"/>
        <v>1.3253028376275329</v>
      </c>
    </row>
    <row r="25" spans="1:6" ht="30" x14ac:dyDescent="0.25">
      <c r="C25" s="4" t="s">
        <v>35</v>
      </c>
      <c r="D25" s="27" t="s">
        <v>38</v>
      </c>
      <c r="E25" s="28" t="s">
        <v>39</v>
      </c>
    </row>
    <row r="26" spans="1:6" x14ac:dyDescent="0.25">
      <c r="A26" s="18">
        <v>13</v>
      </c>
      <c r="B26" s="18" t="s">
        <v>12</v>
      </c>
      <c r="C26" s="7">
        <f>134.18*A26+16099</f>
        <v>17843.34</v>
      </c>
      <c r="D26" s="2">
        <f>(E9+E13+E17)/3</f>
        <v>1.8190814288706798</v>
      </c>
      <c r="E26" s="29">
        <f>C26*D26</f>
        <v>32458.488423025356</v>
      </c>
    </row>
    <row r="27" spans="1:6" x14ac:dyDescent="0.25">
      <c r="A27" s="36">
        <v>16</v>
      </c>
      <c r="B27" s="36" t="s">
        <v>13</v>
      </c>
      <c r="C27" s="7">
        <f>134.18*A27+16099</f>
        <v>18245.88</v>
      </c>
      <c r="D27" s="2">
        <f>(E12+E16+E20)/3</f>
        <v>1.1935702609959564</v>
      </c>
      <c r="E27" s="29">
        <f>C27*D27</f>
        <v>21777.739753700902</v>
      </c>
    </row>
    <row r="29" spans="1:6" x14ac:dyDescent="0.25">
      <c r="A29" t="s">
        <v>60</v>
      </c>
    </row>
    <row r="31" spans="1:6" x14ac:dyDescent="0.25">
      <c r="A31" s="10" t="s">
        <v>16</v>
      </c>
      <c r="B31" s="10">
        <v>2017</v>
      </c>
      <c r="C31" s="10">
        <v>2018</v>
      </c>
      <c r="D31" s="2" t="s">
        <v>41</v>
      </c>
      <c r="E31" s="2" t="s">
        <v>42</v>
      </c>
      <c r="F31" s="58" t="s">
        <v>40</v>
      </c>
    </row>
    <row r="32" spans="1:6" x14ac:dyDescent="0.25">
      <c r="A32" s="10" t="s">
        <v>14</v>
      </c>
      <c r="B32" s="10">
        <v>4625</v>
      </c>
      <c r="C32" s="10">
        <v>5134</v>
      </c>
      <c r="D32" s="2">
        <f>C32-B32</f>
        <v>509</v>
      </c>
      <c r="E32" s="11">
        <f>D32/B32</f>
        <v>0.11005405405405405</v>
      </c>
      <c r="F32" s="59"/>
    </row>
    <row r="33" spans="1:6" x14ac:dyDescent="0.25">
      <c r="A33" s="10" t="s">
        <v>15</v>
      </c>
      <c r="B33" s="1">
        <v>270</v>
      </c>
      <c r="C33" s="1">
        <v>250</v>
      </c>
      <c r="D33" s="2">
        <f>C33-B33</f>
        <v>-20</v>
      </c>
      <c r="E33" s="12">
        <f>D33/B33</f>
        <v>-7.407407407407407E-2</v>
      </c>
      <c r="F33" s="30">
        <f>E32/E33</f>
        <v>-1.4857297297297298</v>
      </c>
    </row>
    <row r="35" spans="1:6" x14ac:dyDescent="0.25">
      <c r="A35" t="s">
        <v>61</v>
      </c>
    </row>
    <row r="45" spans="1:6" x14ac:dyDescent="0.25">
      <c r="A45" s="2"/>
      <c r="B45" s="16">
        <v>2018</v>
      </c>
      <c r="C45" s="16">
        <v>2019</v>
      </c>
      <c r="D45" s="16" t="s">
        <v>48</v>
      </c>
    </row>
    <row r="46" spans="1:6" x14ac:dyDescent="0.25">
      <c r="A46" s="24" t="s">
        <v>43</v>
      </c>
      <c r="B46" s="23">
        <v>250</v>
      </c>
      <c r="C46" s="23">
        <v>240</v>
      </c>
      <c r="F46">
        <v>250.83333333300001</v>
      </c>
    </row>
    <row r="47" spans="1:6" x14ac:dyDescent="0.25">
      <c r="A47" s="5" t="s">
        <v>44</v>
      </c>
      <c r="B47" s="17">
        <v>85</v>
      </c>
      <c r="C47" s="17">
        <v>85</v>
      </c>
      <c r="F47">
        <v>85</v>
      </c>
    </row>
    <row r="48" spans="1:6" x14ac:dyDescent="0.25">
      <c r="A48" s="5" t="s">
        <v>46</v>
      </c>
      <c r="B48" s="23">
        <f>B46-B47</f>
        <v>165</v>
      </c>
      <c r="C48" s="23">
        <f>C46-C47</f>
        <v>155</v>
      </c>
      <c r="F48">
        <f>F46-F47</f>
        <v>165.83333333300001</v>
      </c>
    </row>
    <row r="49" spans="1:6" x14ac:dyDescent="0.25">
      <c r="A49" s="24" t="s">
        <v>45</v>
      </c>
      <c r="B49" s="31">
        <v>5134</v>
      </c>
      <c r="C49" s="37">
        <f>5134+308</f>
        <v>5442</v>
      </c>
      <c r="F49">
        <v>5108.3333329999996</v>
      </c>
    </row>
    <row r="50" spans="1:6" x14ac:dyDescent="0.25">
      <c r="A50" s="24" t="s">
        <v>47</v>
      </c>
      <c r="B50" s="23">
        <f>B48*B49</f>
        <v>847110</v>
      </c>
      <c r="C50" s="23">
        <f>C48*C49</f>
        <v>843510</v>
      </c>
      <c r="D50" s="40">
        <f>C50-B50</f>
        <v>-3600</v>
      </c>
      <c r="F50" s="42">
        <f>F48*F49</f>
        <v>847131.94438746385</v>
      </c>
    </row>
    <row r="51" spans="1:6" x14ac:dyDescent="0.25">
      <c r="A51" s="38" t="s">
        <v>32</v>
      </c>
      <c r="B51" s="39">
        <f>B46*B49</f>
        <v>1283500</v>
      </c>
      <c r="C51" s="39">
        <f>C46*C49</f>
        <v>1306080</v>
      </c>
      <c r="D51" s="41">
        <f>C51-B51</f>
        <v>22580</v>
      </c>
    </row>
    <row r="53" spans="1:6" x14ac:dyDescent="0.25">
      <c r="A53" t="s">
        <v>62</v>
      </c>
    </row>
    <row r="63" spans="1:6" x14ac:dyDescent="0.25">
      <c r="A63" t="s">
        <v>63</v>
      </c>
    </row>
    <row r="65" spans="1:15" x14ac:dyDescent="0.25">
      <c r="I65" s="16"/>
      <c r="J65" s="16" t="s">
        <v>22</v>
      </c>
      <c r="N65">
        <v>5134</v>
      </c>
      <c r="O65">
        <v>5108</v>
      </c>
    </row>
    <row r="66" spans="1:15" x14ac:dyDescent="0.25">
      <c r="A66" s="2"/>
      <c r="B66" s="2" t="s">
        <v>17</v>
      </c>
      <c r="C66" s="2" t="s">
        <v>18</v>
      </c>
      <c r="D66" s="2" t="s">
        <v>19</v>
      </c>
      <c r="E66" s="2" t="s">
        <v>20</v>
      </c>
      <c r="I66" s="48" t="s">
        <v>49</v>
      </c>
      <c r="J66" s="49">
        <v>0.6</v>
      </c>
      <c r="N66">
        <v>250</v>
      </c>
      <c r="O66">
        <f>N66*1.0034</f>
        <v>250.85000000000002</v>
      </c>
    </row>
    <row r="67" spans="1:15" x14ac:dyDescent="0.25">
      <c r="A67" s="2" t="s">
        <v>21</v>
      </c>
      <c r="B67" s="3">
        <v>1600000</v>
      </c>
      <c r="C67" s="3">
        <v>1800000</v>
      </c>
      <c r="D67" s="3">
        <v>1350000</v>
      </c>
      <c r="E67" s="3">
        <v>651000</v>
      </c>
      <c r="I67" s="50" t="s">
        <v>50</v>
      </c>
      <c r="J67" s="51">
        <v>0.3</v>
      </c>
    </row>
    <row r="68" spans="1:15" x14ac:dyDescent="0.25">
      <c r="A68" s="22" t="s">
        <v>30</v>
      </c>
      <c r="B68" s="33">
        <f>B67*1.2</f>
        <v>1920000</v>
      </c>
      <c r="C68" s="33">
        <f t="shared" ref="C68:E68" si="2">C67*1.2</f>
        <v>2160000</v>
      </c>
      <c r="D68" s="33">
        <f t="shared" si="2"/>
        <v>1620000</v>
      </c>
      <c r="E68" s="33">
        <f t="shared" si="2"/>
        <v>781200</v>
      </c>
      <c r="I68" s="44" t="s">
        <v>51</v>
      </c>
      <c r="J68" s="45">
        <v>0.1</v>
      </c>
      <c r="N68" t="s">
        <v>32</v>
      </c>
      <c r="O68" s="8">
        <f>O65*O66</f>
        <v>1281341.8</v>
      </c>
    </row>
    <row r="69" spans="1:15" x14ac:dyDescent="0.25">
      <c r="N69" t="s">
        <v>29</v>
      </c>
      <c r="O69" s="8">
        <f>O65*85</f>
        <v>434180</v>
      </c>
    </row>
    <row r="70" spans="1:15" x14ac:dyDescent="0.25">
      <c r="A70" s="2" t="s">
        <v>23</v>
      </c>
      <c r="B70" s="2" t="s">
        <v>25</v>
      </c>
      <c r="C70" s="2" t="s">
        <v>26</v>
      </c>
      <c r="N70" t="s">
        <v>33</v>
      </c>
      <c r="O70" s="8">
        <f>O68-O69</f>
        <v>847161.8</v>
      </c>
    </row>
    <row r="71" spans="1:15" x14ac:dyDescent="0.25">
      <c r="A71" s="2" t="s">
        <v>55</v>
      </c>
      <c r="B71" s="2">
        <f>1800000*1.2*0.6</f>
        <v>1296000</v>
      </c>
      <c r="C71" s="2">
        <v>0</v>
      </c>
      <c r="E71">
        <f>+B71+D71</f>
        <v>1296000</v>
      </c>
    </row>
    <row r="72" spans="1:15" x14ac:dyDescent="0.25">
      <c r="A72" s="2" t="s">
        <v>27</v>
      </c>
      <c r="B72" s="2">
        <f>2520000*0.6</f>
        <v>1512000</v>
      </c>
      <c r="C72" s="2">
        <f>2520000*0.3</f>
        <v>756000</v>
      </c>
      <c r="E72">
        <f>+B72+C72</f>
        <v>2268000</v>
      </c>
    </row>
    <row r="73" spans="1:15" x14ac:dyDescent="0.25">
      <c r="I73" s="2" t="s">
        <v>23</v>
      </c>
    </row>
    <row r="74" spans="1:15" x14ac:dyDescent="0.25">
      <c r="I74" s="2" t="s">
        <v>24</v>
      </c>
      <c r="J74" s="8">
        <v>1296000</v>
      </c>
    </row>
    <row r="75" spans="1:15" x14ac:dyDescent="0.25">
      <c r="A75" s="2"/>
      <c r="B75" s="16" t="s">
        <v>17</v>
      </c>
      <c r="C75" s="16" t="s">
        <v>18</v>
      </c>
      <c r="D75" s="16" t="s">
        <v>19</v>
      </c>
      <c r="E75" s="16" t="s">
        <v>20</v>
      </c>
      <c r="F75" s="14"/>
      <c r="G75" s="2"/>
      <c r="I75" s="2" t="s">
        <v>27</v>
      </c>
      <c r="J75" s="8">
        <v>2268000</v>
      </c>
    </row>
    <row r="76" spans="1:15" x14ac:dyDescent="0.25">
      <c r="A76" s="35" t="s">
        <v>31</v>
      </c>
      <c r="B76" s="56">
        <f>B71+B72</f>
        <v>2808000</v>
      </c>
      <c r="C76" s="56">
        <f>C72</f>
        <v>756000</v>
      </c>
      <c r="D76" s="3"/>
      <c r="E76" s="3"/>
      <c r="F76" s="14"/>
      <c r="G76" s="2"/>
    </row>
    <row r="77" spans="1:15" x14ac:dyDescent="0.25">
      <c r="A77" s="13" t="s">
        <v>52</v>
      </c>
      <c r="B77" s="43">
        <f>B68*0.1</f>
        <v>192000</v>
      </c>
      <c r="C77" s="43">
        <f t="shared" ref="C77:E77" si="3">C68*0.1</f>
        <v>216000</v>
      </c>
      <c r="D77" s="43">
        <f t="shared" si="3"/>
        <v>162000</v>
      </c>
      <c r="E77" s="43">
        <f t="shared" si="3"/>
        <v>78120</v>
      </c>
      <c r="F77" s="14"/>
      <c r="G77" s="2"/>
    </row>
    <row r="78" spans="1:15" x14ac:dyDescent="0.25">
      <c r="A78" s="52" t="s">
        <v>54</v>
      </c>
      <c r="B78" s="53"/>
      <c r="C78" s="54"/>
      <c r="D78" s="55">
        <f>B68*0.3</f>
        <v>576000</v>
      </c>
      <c r="E78" s="55">
        <f>C68*0.3</f>
        <v>648000</v>
      </c>
      <c r="F78" s="15"/>
      <c r="G78" s="2"/>
    </row>
    <row r="79" spans="1:15" x14ac:dyDescent="0.25">
      <c r="A79" s="13" t="s">
        <v>53</v>
      </c>
      <c r="B79" s="2"/>
      <c r="C79" s="46">
        <f>B68*0.6</f>
        <v>1152000</v>
      </c>
      <c r="D79" s="46">
        <f t="shared" ref="D79:E79" si="4">C68*0.6</f>
        <v>1296000</v>
      </c>
      <c r="E79" s="46">
        <f t="shared" si="4"/>
        <v>972000</v>
      </c>
      <c r="F79" s="47"/>
      <c r="G79" s="6"/>
      <c r="H79" s="9">
        <f>F68*0.6</f>
        <v>0</v>
      </c>
    </row>
    <row r="80" spans="1:15" x14ac:dyDescent="0.25">
      <c r="A80" s="32" t="s">
        <v>28</v>
      </c>
      <c r="B80" s="33">
        <f>SUM(B76:B79)</f>
        <v>3000000</v>
      </c>
      <c r="C80" s="33">
        <f t="shared" ref="C80:E80" si="5">SUM(C76:C79)</f>
        <v>2124000</v>
      </c>
      <c r="D80" s="33">
        <f t="shared" si="5"/>
        <v>2034000</v>
      </c>
      <c r="E80" s="33">
        <f t="shared" si="5"/>
        <v>1698120</v>
      </c>
    </row>
  </sheetData>
  <mergeCells count="2">
    <mergeCell ref="A7:E7"/>
    <mergeCell ref="F31:F3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2019-02-11T07:20:29Z</dcterms:created>
  <dcterms:modified xsi:type="dcterms:W3CDTF">2020-12-18T07:41:10Z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64d970ac-29df-41f2-99a7-ed93b73c465f</vt:lpwstr>
  </property>
</Properties>
</file>