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noel\OneDrive - Universite Evry Val d'Essonne\BUT\Cours BUT2\CG2P\R3 CG2P12\2025 2026\Chapitre 1  Les prévisions des ventes\"/>
    </mc:Choice>
  </mc:AlternateContent>
  <xr:revisionPtr revIDLastSave="0" documentId="13_ncr:1_{DECE0327-5B70-4233-A6BF-C2849A62F226}" xr6:coauthVersionLast="36" xr6:coauthVersionMax="36" xr10:uidLastSave="{00000000-0000-0000-0000-000000000000}"/>
  <bookViews>
    <workbookView xWindow="0" yWindow="0" windowWidth="28800" windowHeight="11928" activeTab="7" xr2:uid="{96C0BC95-C3D7-4C32-9CE4-620A29C8ED3B}"/>
  </bookViews>
  <sheets>
    <sheet name="Exercice 1" sheetId="2" r:id="rId1"/>
    <sheet name="Exercice 2" sheetId="5" r:id="rId2"/>
    <sheet name="Exercice 3" sheetId="4" r:id="rId3"/>
    <sheet name="Exercice 4" sheetId="6" r:id="rId4"/>
    <sheet name="Exercice 5" sheetId="7" r:id="rId5"/>
    <sheet name="Exercice 6" sheetId="8" r:id="rId6"/>
    <sheet name="Exercice 7" sheetId="9" r:id="rId7"/>
    <sheet name="Exercice 8" sheetId="10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0" l="1"/>
  <c r="P20" i="10" s="1"/>
  <c r="P9" i="10"/>
  <c r="N10" i="10"/>
  <c r="N9" i="10"/>
  <c r="N8" i="10"/>
  <c r="P18" i="10"/>
  <c r="C21" i="10"/>
  <c r="C23" i="10"/>
  <c r="D23" i="10" s="1"/>
  <c r="M16" i="10"/>
  <c r="L16" i="10"/>
  <c r="K16" i="10"/>
  <c r="J16" i="10"/>
  <c r="I16" i="10"/>
  <c r="E16" i="10"/>
  <c r="D16" i="10"/>
  <c r="O15" i="10"/>
  <c r="J15" i="10"/>
  <c r="I15" i="10"/>
  <c r="H15" i="10"/>
  <c r="G15" i="10"/>
  <c r="N14" i="10"/>
  <c r="M14" i="10"/>
  <c r="G14" i="10"/>
  <c r="F14" i="10"/>
  <c r="E14" i="10"/>
  <c r="K11" i="10"/>
  <c r="J11" i="10"/>
  <c r="I11" i="10"/>
  <c r="C11" i="10"/>
  <c r="B11" i="10"/>
  <c r="K10" i="10"/>
  <c r="J10" i="10"/>
  <c r="I10" i="10"/>
  <c r="H10" i="10"/>
  <c r="G10" i="10"/>
  <c r="C10" i="10"/>
  <c r="B10" i="10"/>
  <c r="M9" i="10"/>
  <c r="H9" i="10"/>
  <c r="G9" i="10"/>
  <c r="F9" i="10"/>
  <c r="E9" i="10"/>
  <c r="M8" i="10"/>
  <c r="L8" i="10"/>
  <c r="F8" i="10"/>
  <c r="E8" i="10"/>
  <c r="D8" i="10"/>
  <c r="E3" i="10"/>
  <c r="H16" i="10" s="1"/>
  <c r="E2" i="10"/>
  <c r="N15" i="10" s="1"/>
  <c r="E1" i="10"/>
  <c r="C22" i="10" l="1"/>
  <c r="D22" i="10" s="1"/>
  <c r="B15" i="10"/>
  <c r="M17" i="10"/>
  <c r="C25" i="10"/>
  <c r="I9" i="10"/>
  <c r="I8" i="10"/>
  <c r="B9" i="10"/>
  <c r="J9" i="10"/>
  <c r="D10" i="10"/>
  <c r="L10" i="10"/>
  <c r="F11" i="10"/>
  <c r="J14" i="10"/>
  <c r="J17" i="10" s="1"/>
  <c r="D15" i="10"/>
  <c r="L15" i="10"/>
  <c r="F16" i="10"/>
  <c r="N16" i="10"/>
  <c r="G8" i="10"/>
  <c r="D11" i="10"/>
  <c r="L11" i="10"/>
  <c r="H14" i="10"/>
  <c r="H17" i="10" s="1"/>
  <c r="E11" i="10"/>
  <c r="M11" i="10"/>
  <c r="I14" i="10"/>
  <c r="I17" i="10" s="1"/>
  <c r="C15" i="10"/>
  <c r="K15" i="10"/>
  <c r="B8" i="10"/>
  <c r="J8" i="10"/>
  <c r="C9" i="10"/>
  <c r="K9" i="10"/>
  <c r="E10" i="10"/>
  <c r="M10" i="10"/>
  <c r="G11" i="10"/>
  <c r="C14" i="10"/>
  <c r="K14" i="10"/>
  <c r="K17" i="10" s="1"/>
  <c r="E15" i="10"/>
  <c r="E17" i="10" s="1"/>
  <c r="M15" i="10"/>
  <c r="G16" i="10"/>
  <c r="G17" i="10" s="1"/>
  <c r="O16" i="10"/>
  <c r="H8" i="10"/>
  <c r="C24" i="10"/>
  <c r="C8" i="10"/>
  <c r="K8" i="10"/>
  <c r="D9" i="10"/>
  <c r="L9" i="10"/>
  <c r="F10" i="10"/>
  <c r="H11" i="10"/>
  <c r="D14" i="10"/>
  <c r="D17" i="10" s="1"/>
  <c r="L14" i="10"/>
  <c r="L17" i="10" s="1"/>
  <c r="F15" i="10"/>
  <c r="F17" i="10" s="1"/>
  <c r="B14" i="10" l="1"/>
  <c r="B17" i="10" s="1"/>
  <c r="P15" i="10"/>
  <c r="D24" i="10"/>
  <c r="D25" i="10" s="1"/>
  <c r="C16" i="10"/>
  <c r="P16" i="10" s="1"/>
  <c r="P14" i="10" l="1"/>
  <c r="C17" i="10"/>
  <c r="B13" i="8" l="1"/>
  <c r="C13" i="8"/>
  <c r="F45" i="9" l="1"/>
  <c r="F48" i="9" s="1"/>
  <c r="F43" i="9"/>
  <c r="H39" i="9"/>
  <c r="F36" i="9"/>
  <c r="H38" i="9" s="1"/>
  <c r="S28" i="9"/>
  <c r="I28" i="9"/>
  <c r="R27" i="9"/>
  <c r="H27" i="9"/>
  <c r="F27" i="9"/>
  <c r="J12" i="9"/>
  <c r="J27" i="9" s="1"/>
  <c r="H12" i="9"/>
  <c r="G12" i="9"/>
  <c r="H28" i="9" s="1"/>
  <c r="F12" i="9"/>
  <c r="G28" i="9" s="1"/>
  <c r="F5" i="9"/>
  <c r="F6" i="9" s="1"/>
  <c r="F4" i="9"/>
  <c r="I12" i="9" s="1"/>
  <c r="K29" i="9" l="1"/>
  <c r="I27" i="9"/>
  <c r="J28" i="9"/>
  <c r="J30" i="9"/>
  <c r="Q12" i="9"/>
  <c r="P12" i="9"/>
  <c r="O12" i="9"/>
  <c r="F50" i="9"/>
  <c r="F49" i="9"/>
  <c r="F29" i="9" s="1"/>
  <c r="J29" i="9"/>
  <c r="K12" i="9"/>
  <c r="G27" i="9"/>
  <c r="G30" i="9" s="1"/>
  <c r="L29" i="9"/>
  <c r="G41" i="9"/>
  <c r="K28" i="9"/>
  <c r="M12" i="9"/>
  <c r="G29" i="9"/>
  <c r="F47" i="9"/>
  <c r="F28" i="9" s="1"/>
  <c r="F30" i="9" s="1"/>
  <c r="L12" i="9"/>
  <c r="N12" i="9"/>
  <c r="H29" i="9"/>
  <c r="H30" i="9" s="1"/>
  <c r="I29" i="9"/>
  <c r="H37" i="9"/>
  <c r="Q27" i="9" l="1"/>
  <c r="S29" i="9"/>
  <c r="R28" i="9"/>
  <c r="R29" i="9"/>
  <c r="Q28" i="9"/>
  <c r="P27" i="9"/>
  <c r="P30" i="9" s="1"/>
  <c r="I30" i="9"/>
  <c r="O28" i="9"/>
  <c r="P29" i="9"/>
  <c r="N27" i="9"/>
  <c r="L27" i="9"/>
  <c r="M28" i="9"/>
  <c r="N29" i="9"/>
  <c r="M27" i="9"/>
  <c r="M30" i="9" s="1"/>
  <c r="N28" i="9"/>
  <c r="O29" i="9"/>
  <c r="K27" i="9"/>
  <c r="K30" i="9" s="1"/>
  <c r="L28" i="9"/>
  <c r="M29" i="9"/>
  <c r="P28" i="9"/>
  <c r="Q29" i="9"/>
  <c r="O27" i="9"/>
  <c r="O30" i="9" l="1"/>
  <c r="L30" i="9"/>
  <c r="N30" i="9"/>
  <c r="Q30" i="9"/>
  <c r="E30" i="8" l="1"/>
  <c r="E33" i="8" s="1"/>
  <c r="B28" i="8"/>
  <c r="B6" i="8"/>
  <c r="E5" i="8"/>
  <c r="C4" i="8"/>
  <c r="C6" i="8" s="1"/>
  <c r="C7" i="8" s="1"/>
  <c r="H29" i="7"/>
  <c r="G30" i="7"/>
  <c r="G31" i="7"/>
  <c r="G32" i="7"/>
  <c r="G33" i="7"/>
  <c r="G34" i="7"/>
  <c r="G35" i="7"/>
  <c r="G36" i="7"/>
  <c r="G37" i="7"/>
  <c r="G38" i="7"/>
  <c r="G39" i="7"/>
  <c r="G40" i="7"/>
  <c r="G29" i="7"/>
  <c r="C7" i="7"/>
  <c r="C8" i="7"/>
  <c r="C9" i="7"/>
  <c r="D9" i="7" s="1"/>
  <c r="C10" i="7"/>
  <c r="C11" i="7"/>
  <c r="C12" i="7"/>
  <c r="C13" i="7"/>
  <c r="C14" i="7"/>
  <c r="C15" i="7"/>
  <c r="C16" i="7"/>
  <c r="D16" i="7" s="1"/>
  <c r="C17" i="7"/>
  <c r="D17" i="7" s="1"/>
  <c r="C18" i="7"/>
  <c r="C19" i="7"/>
  <c r="C20" i="7"/>
  <c r="D20" i="7" s="1"/>
  <c r="C21" i="7"/>
  <c r="C22" i="7"/>
  <c r="C23" i="7"/>
  <c r="D23" i="7" s="1"/>
  <c r="C24" i="7"/>
  <c r="D24" i="7" s="1"/>
  <c r="C25" i="7"/>
  <c r="D25" i="7" s="1"/>
  <c r="C26" i="7"/>
  <c r="C27" i="7"/>
  <c r="D27" i="7" s="1"/>
  <c r="C28" i="7"/>
  <c r="D28" i="7" s="1"/>
  <c r="C29" i="7"/>
  <c r="C30" i="7"/>
  <c r="C31" i="7"/>
  <c r="C32" i="7"/>
  <c r="D32" i="7" s="1"/>
  <c r="C33" i="7"/>
  <c r="D33" i="7" s="1"/>
  <c r="C34" i="7"/>
  <c r="C35" i="7"/>
  <c r="C36" i="7"/>
  <c r="C37" i="7"/>
  <c r="C6" i="7"/>
  <c r="D6" i="7" s="1"/>
  <c r="D7" i="7"/>
  <c r="D12" i="7"/>
  <c r="D15" i="7"/>
  <c r="D22" i="7"/>
  <c r="D30" i="7"/>
  <c r="D31" i="7"/>
  <c r="D35" i="7"/>
  <c r="D36" i="7"/>
  <c r="D37" i="7"/>
  <c r="D34" i="7"/>
  <c r="D29" i="7"/>
  <c r="D26" i="7"/>
  <c r="D21" i="7"/>
  <c r="D19" i="7"/>
  <c r="D18" i="7"/>
  <c r="D14" i="7"/>
  <c r="H39" i="7" s="1"/>
  <c r="D13" i="7"/>
  <c r="D11" i="7"/>
  <c r="D10" i="7"/>
  <c r="D8" i="7"/>
  <c r="B31" i="8" l="1"/>
  <c r="B7" i="8"/>
  <c r="D14" i="8" s="1"/>
  <c r="D4" i="8"/>
  <c r="E34" i="8"/>
  <c r="C15" i="8"/>
  <c r="E15" i="8"/>
  <c r="D15" i="8"/>
  <c r="C14" i="8"/>
  <c r="E32" i="8"/>
  <c r="B32" i="8"/>
  <c r="C18" i="8" s="1"/>
  <c r="H32" i="7"/>
  <c r="H31" i="7"/>
  <c r="I31" i="7" s="1"/>
  <c r="I32" i="7"/>
  <c r="H35" i="7"/>
  <c r="I39" i="7"/>
  <c r="H30" i="7"/>
  <c r="I30" i="7" s="1"/>
  <c r="H38" i="7"/>
  <c r="H36" i="7"/>
  <c r="I36" i="7" s="1"/>
  <c r="H37" i="7"/>
  <c r="I37" i="7" s="1"/>
  <c r="I38" i="7"/>
  <c r="H40" i="7"/>
  <c r="I40" i="7" s="1"/>
  <c r="H33" i="7"/>
  <c r="I33" i="7" s="1"/>
  <c r="H34" i="7"/>
  <c r="I34" i="7" s="1"/>
  <c r="I29" i="7"/>
  <c r="I35" i="7"/>
  <c r="B14" i="8" l="1"/>
  <c r="B18" i="8" s="1"/>
  <c r="E4" i="8"/>
  <c r="E6" i="8" s="1"/>
  <c r="E7" i="8" s="1"/>
  <c r="D6" i="8"/>
  <c r="B33" i="8"/>
  <c r="D7" i="8" l="1"/>
  <c r="F17" i="8"/>
  <c r="E17" i="8"/>
  <c r="F16" i="8" l="1"/>
  <c r="F18" i="8" s="1"/>
  <c r="E16" i="8"/>
  <c r="E18" i="8" s="1"/>
  <c r="D16" i="8"/>
  <c r="D18" i="8" s="1"/>
  <c r="H42" i="6" l="1"/>
  <c r="J42" i="6" s="1"/>
  <c r="H43" i="6"/>
  <c r="J43" i="6" s="1"/>
  <c r="H44" i="6"/>
  <c r="H45" i="6"/>
  <c r="H46" i="6"/>
  <c r="H47" i="6"/>
  <c r="H48" i="6"/>
  <c r="H49" i="6"/>
  <c r="H50" i="6"/>
  <c r="J50" i="6" s="1"/>
  <c r="H51" i="6"/>
  <c r="J51" i="6" s="1"/>
  <c r="H52" i="6"/>
  <c r="H41" i="6"/>
  <c r="J41" i="6" s="1"/>
  <c r="J44" i="6"/>
  <c r="J45" i="6"/>
  <c r="J46" i="6"/>
  <c r="J47" i="6"/>
  <c r="J48" i="6"/>
  <c r="J49" i="6"/>
  <c r="J52" i="6"/>
  <c r="I51" i="6"/>
  <c r="I52" i="6"/>
  <c r="I50" i="6"/>
  <c r="I45" i="6"/>
  <c r="I46" i="6"/>
  <c r="I47" i="6"/>
  <c r="I48" i="6"/>
  <c r="I49" i="6"/>
  <c r="I44" i="6"/>
  <c r="I42" i="6"/>
  <c r="I43" i="6"/>
  <c r="I41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8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H81" i="4"/>
  <c r="H82" i="4"/>
  <c r="H83" i="4"/>
  <c r="H84" i="4"/>
  <c r="H80" i="4"/>
  <c r="H79" i="4"/>
  <c r="H78" i="4"/>
  <c r="H74" i="4"/>
  <c r="H75" i="4"/>
  <c r="H76" i="4"/>
  <c r="H77" i="4"/>
  <c r="H73" i="4"/>
  <c r="G74" i="4"/>
  <c r="G75" i="4"/>
  <c r="G76" i="4"/>
  <c r="G77" i="4"/>
  <c r="G78" i="4"/>
  <c r="G79" i="4"/>
  <c r="G80" i="4"/>
  <c r="G81" i="4"/>
  <c r="G82" i="4"/>
  <c r="G83" i="4"/>
  <c r="G84" i="4"/>
  <c r="G7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53" i="4"/>
  <c r="C78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53" i="4"/>
  <c r="I30" i="4"/>
  <c r="I31" i="4"/>
  <c r="I32" i="4"/>
  <c r="I33" i="4"/>
  <c r="I34" i="4"/>
  <c r="I35" i="4"/>
  <c r="I36" i="4"/>
  <c r="I37" i="4"/>
  <c r="I38" i="4"/>
  <c r="I39" i="4"/>
  <c r="I40" i="4"/>
  <c r="I29" i="4"/>
  <c r="H40" i="4"/>
  <c r="H39" i="4"/>
  <c r="H32" i="4"/>
  <c r="H33" i="4"/>
  <c r="H34" i="4"/>
  <c r="H35" i="4"/>
  <c r="H36" i="4"/>
  <c r="H37" i="4"/>
  <c r="H38" i="4"/>
  <c r="H31" i="4"/>
  <c r="H30" i="4"/>
  <c r="H29" i="4"/>
  <c r="G30" i="4"/>
  <c r="G31" i="4"/>
  <c r="G32" i="4"/>
  <c r="G33" i="4"/>
  <c r="G34" i="4"/>
  <c r="G35" i="4"/>
  <c r="G36" i="4"/>
  <c r="G37" i="4"/>
  <c r="G38" i="4"/>
  <c r="G39" i="4"/>
  <c r="G40" i="4"/>
  <c r="G29" i="4"/>
  <c r="C7" i="4"/>
  <c r="D7" i="4" s="1"/>
  <c r="C8" i="4"/>
  <c r="D8" i="4" s="1"/>
  <c r="C9" i="4"/>
  <c r="D9" i="4" s="1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7" i="4"/>
  <c r="D17" i="4" s="1"/>
  <c r="C18" i="4"/>
  <c r="D18" i="4" s="1"/>
  <c r="C19" i="4"/>
  <c r="D19" i="4" s="1"/>
  <c r="C20" i="4"/>
  <c r="D20" i="4" s="1"/>
  <c r="C21" i="4"/>
  <c r="D21" i="4" s="1"/>
  <c r="C22" i="4"/>
  <c r="D22" i="4" s="1"/>
  <c r="C23" i="4"/>
  <c r="D23" i="4" s="1"/>
  <c r="C24" i="4"/>
  <c r="D24" i="4" s="1"/>
  <c r="C25" i="4"/>
  <c r="D25" i="4" s="1"/>
  <c r="C26" i="4"/>
  <c r="D26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36" i="4"/>
  <c r="D36" i="4" s="1"/>
  <c r="C37" i="4"/>
  <c r="D37" i="4" s="1"/>
  <c r="C6" i="4"/>
  <c r="D6" i="4" s="1"/>
  <c r="K23" i="5"/>
  <c r="K24" i="5"/>
  <c r="K25" i="5"/>
  <c r="K26" i="5"/>
  <c r="K27" i="5"/>
  <c r="K28" i="5"/>
  <c r="K29" i="5"/>
  <c r="K30" i="5"/>
  <c r="K31" i="5"/>
  <c r="K32" i="5"/>
  <c r="K33" i="5"/>
  <c r="K22" i="5"/>
  <c r="K20" i="5"/>
  <c r="G34" i="5"/>
  <c r="G31" i="5"/>
  <c r="G32" i="5"/>
  <c r="G33" i="5"/>
  <c r="G23" i="5"/>
  <c r="G24" i="5"/>
  <c r="G25" i="5"/>
  <c r="G26" i="5"/>
  <c r="G27" i="5"/>
  <c r="G28" i="5"/>
  <c r="G29" i="5"/>
  <c r="G30" i="5"/>
  <c r="G22" i="5"/>
  <c r="C29" i="5"/>
  <c r="C30" i="5"/>
  <c r="C31" i="5"/>
  <c r="C32" i="5"/>
  <c r="C33" i="5"/>
  <c r="C34" i="5"/>
  <c r="C35" i="5"/>
  <c r="C36" i="5"/>
  <c r="C37" i="5"/>
  <c r="C38" i="5"/>
  <c r="C39" i="5"/>
  <c r="C28" i="5"/>
  <c r="C17" i="5"/>
  <c r="C18" i="5"/>
  <c r="C19" i="5"/>
  <c r="C20" i="5"/>
  <c r="C21" i="5"/>
  <c r="C22" i="5"/>
  <c r="C23" i="5"/>
  <c r="C24" i="5"/>
  <c r="C25" i="5"/>
  <c r="C26" i="5"/>
  <c r="C27" i="5"/>
  <c r="C16" i="5"/>
  <c r="C5" i="5"/>
  <c r="C6" i="5"/>
  <c r="C7" i="5"/>
  <c r="C8" i="5"/>
  <c r="C9" i="5"/>
  <c r="C10" i="5"/>
  <c r="C11" i="5"/>
  <c r="C12" i="5"/>
  <c r="C13" i="5"/>
  <c r="C14" i="5"/>
  <c r="C15" i="5"/>
  <c r="C4" i="5"/>
  <c r="G2" i="5"/>
  <c r="N27" i="2"/>
  <c r="N28" i="2"/>
  <c r="N29" i="2"/>
  <c r="N30" i="2"/>
  <c r="N31" i="2"/>
  <c r="N32" i="2"/>
  <c r="N33" i="2"/>
  <c r="N34" i="2"/>
  <c r="N35" i="2"/>
  <c r="N36" i="2"/>
  <c r="N37" i="2"/>
  <c r="N26" i="2"/>
  <c r="H27" i="2"/>
  <c r="H28" i="2"/>
  <c r="H29" i="2"/>
  <c r="H30" i="2"/>
  <c r="H31" i="2"/>
  <c r="H32" i="2"/>
  <c r="H33" i="2"/>
  <c r="H34" i="2"/>
  <c r="H35" i="2"/>
  <c r="H36" i="2"/>
  <c r="H37" i="2"/>
  <c r="H26" i="2"/>
  <c r="E12" i="2"/>
  <c r="E13" i="2"/>
  <c r="E14" i="2"/>
  <c r="E15" i="2"/>
  <c r="E16" i="2"/>
  <c r="E17" i="2"/>
  <c r="E18" i="2"/>
  <c r="E19" i="2"/>
  <c r="E20" i="2"/>
  <c r="E21" i="2"/>
  <c r="E22" i="2"/>
  <c r="E11" i="2"/>
  <c r="D7" i="2"/>
  <c r="F3" i="2"/>
  <c r="I73" i="4" l="1"/>
  <c r="I84" i="4"/>
  <c r="I77" i="4"/>
  <c r="I81" i="4"/>
  <c r="I79" i="4"/>
  <c r="I80" i="4"/>
  <c r="I74" i="4"/>
  <c r="I75" i="4"/>
  <c r="I76" i="4"/>
  <c r="I82" i="4"/>
  <c r="I83" i="4"/>
  <c r="I78" i="4"/>
  <c r="K3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B13" authorId="0" shapeId="0" xr:uid="{36BB4F0A-B11A-467B-8D08-83D8681BE664}">
      <text>
        <r>
          <rPr>
            <b/>
            <sz val="9"/>
            <color indexed="81"/>
            <rFont val="Tahoma"/>
            <family val="2"/>
          </rPr>
          <t>875000 + (2496000)*0,55</t>
        </r>
      </text>
    </comment>
    <comment ref="C13" authorId="0" shapeId="0" xr:uid="{804C1D5C-BDBB-402D-9DB2-A06695DFCA18}">
      <text>
        <r>
          <rPr>
            <b/>
            <sz val="9"/>
            <color indexed="81"/>
            <rFont val="Tahoma"/>
            <family val="2"/>
          </rPr>
          <t>2496000*0,35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0" shapeId="0" xr:uid="{7739A2DE-E545-47A1-8C0F-5879FFC41DE0}">
      <text>
        <r>
          <rPr>
            <b/>
            <sz val="9"/>
            <color indexed="81"/>
            <rFont val="Tahoma"/>
            <family val="2"/>
          </rPr>
          <t>2246400 /0,90 = 2496000€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F29" authorId="0" shapeId="0" xr:uid="{852A0364-3011-4187-A8A0-248E5CDD3616}">
      <text>
        <r>
          <rPr>
            <b/>
            <sz val="9"/>
            <color indexed="81"/>
            <rFont val="Tahoma"/>
            <family val="2"/>
          </rPr>
          <t>807300 + 265500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 xr:uid="{51843C34-CC87-41C9-B4EB-51C9FAEDD222}">
      <text>
        <r>
          <rPr>
            <b/>
            <sz val="9"/>
            <color indexed="81"/>
            <rFont val="Tahoma"/>
            <family val="2"/>
          </rPr>
          <t>CA de décembre payé en février : 796500€
CA de janvier payé en février : (1075000*1,20) * 50% * 25% : 161 100€</t>
        </r>
      </text>
    </comment>
  </commentList>
</comments>
</file>

<file path=xl/sharedStrings.xml><?xml version="1.0" encoding="utf-8"?>
<sst xmlns="http://schemas.openxmlformats.org/spreadsheetml/2006/main" count="241" uniqueCount="107">
  <si>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</si>
  <si>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</si>
  <si>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</si>
  <si>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</si>
  <si>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</si>
  <si>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</si>
  <si>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</si>
  <si>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</si>
  <si>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</si>
  <si>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</si>
  <si>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</si>
  <si>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</si>
  <si>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Ventes</t>
  </si>
  <si>
    <t>Mois</t>
  </si>
  <si>
    <t>Quantité vendue</t>
  </si>
  <si>
    <t>PV unitaire</t>
  </si>
  <si>
    <t>CA HT</t>
  </si>
  <si>
    <t>CA TTC</t>
  </si>
  <si>
    <t>Créances au 30/04/N</t>
  </si>
  <si>
    <t>Créances au bilan</t>
  </si>
  <si>
    <t>CA  de janvier</t>
  </si>
  <si>
    <t>CA de février</t>
  </si>
  <si>
    <t>CA de Mars</t>
  </si>
  <si>
    <t>CA d'Avril</t>
  </si>
  <si>
    <t>TOTAL</t>
  </si>
  <si>
    <t>Créances novembre pour janvier</t>
  </si>
  <si>
    <t>Créances décembre</t>
  </si>
  <si>
    <t>CA TTC de décembre N-1</t>
  </si>
  <si>
    <t>Janvier - 55%</t>
  </si>
  <si>
    <t>Février  - 35%</t>
  </si>
  <si>
    <t>10% Décembre</t>
  </si>
  <si>
    <t>55% janvier</t>
  </si>
  <si>
    <t>35% en février</t>
  </si>
  <si>
    <t>BUDGET DES VENTES</t>
  </si>
  <si>
    <t>BUDGET DES ENCAISSEMENTS</t>
  </si>
  <si>
    <t>Indice</t>
  </si>
  <si>
    <t>Coeeficient de corrélation</t>
  </si>
  <si>
    <t>a</t>
  </si>
  <si>
    <t>b</t>
  </si>
  <si>
    <t>Avec le graphique : Ajustement linéaire</t>
  </si>
  <si>
    <t>Avec le graphique : Ajustement exponnentiel</t>
  </si>
  <si>
    <t>Avec la fonction DROITEREG pour déterminer y=ax +b</t>
  </si>
  <si>
    <t>Prévisions</t>
  </si>
  <si>
    <t>Indices</t>
  </si>
  <si>
    <t>Coefficient de corrélation</t>
  </si>
  <si>
    <t>Coef saisonniers</t>
  </si>
  <si>
    <t>Coefficients mensuels moyens</t>
  </si>
  <si>
    <t>Prévisions mensuelles de 2025</t>
  </si>
  <si>
    <t>Ventes annuelles 2025</t>
  </si>
  <si>
    <t>MM5</t>
  </si>
  <si>
    <t>Valeur de l'équation</t>
  </si>
  <si>
    <t>Coef moyens</t>
  </si>
  <si>
    <t>NIVEAU 5</t>
  </si>
  <si>
    <t>NIVEAU 11</t>
  </si>
  <si>
    <t>MM7</t>
  </si>
  <si>
    <t>Valeur Equation</t>
  </si>
  <si>
    <t>NIVEAU 4</t>
  </si>
  <si>
    <t>MM4</t>
  </si>
  <si>
    <t>-10% au comptant</t>
  </si>
  <si>
    <t>J</t>
  </si>
  <si>
    <t>F</t>
  </si>
  <si>
    <t>M</t>
  </si>
  <si>
    <t>A</t>
  </si>
  <si>
    <t>-55% à 30 jours</t>
  </si>
  <si>
    <t>-35% à 60 jours</t>
  </si>
  <si>
    <t>BUDGET DES ENCAISSEM%ENTS</t>
  </si>
  <si>
    <t>Prix par trimestre</t>
  </si>
  <si>
    <t>Type de clients</t>
  </si>
  <si>
    <t>Répartition du CA</t>
  </si>
  <si>
    <t>Comptant</t>
  </si>
  <si>
    <t>30 jours</t>
  </si>
  <si>
    <t>60 jours</t>
  </si>
  <si>
    <t>Particuliers</t>
  </si>
  <si>
    <t>Petits commerces</t>
  </si>
  <si>
    <t>Grandes surfaces</t>
  </si>
  <si>
    <t>: 807 300€</t>
  </si>
  <si>
    <t>-&gt;  Janvier des GS</t>
  </si>
  <si>
    <t>: 1 699 200€</t>
  </si>
  <si>
    <t>-&gt;  Janvier des PC</t>
  </si>
  <si>
    <t>-&gt;  Février des GS</t>
  </si>
  <si>
    <t>CA TTC de décembre (1 699 200 / 0,80)</t>
  </si>
  <si>
    <t>Particulier</t>
  </si>
  <si>
    <t>PC</t>
  </si>
  <si>
    <t>GS</t>
  </si>
  <si>
    <t>Janvier (265 500)</t>
  </si>
  <si>
    <t>Février (796500)</t>
  </si>
  <si>
    <t>Paiement en janvier concerne les GS</t>
  </si>
  <si>
    <t>80% du CA TTC de Décembre</t>
  </si>
  <si>
    <t>100% du CA TTC de Décembre</t>
  </si>
  <si>
    <t>Paiement en janvier</t>
  </si>
  <si>
    <t>=2124000*0,3</t>
  </si>
  <si>
    <t>=2124000*0,5</t>
  </si>
  <si>
    <t>=1062000*0,25</t>
  </si>
  <si>
    <t>Paiement en février</t>
  </si>
  <si>
    <t>=1062000*0,75</t>
  </si>
  <si>
    <t>Créances au 31/12/2023</t>
  </si>
  <si>
    <t>Créances restantes provenant du CA de novembre 2023</t>
  </si>
  <si>
    <t>Créances restantes provenant du CA de décembre 2023</t>
  </si>
  <si>
    <t>Ile de France</t>
  </si>
  <si>
    <t>100% à 30 jours</t>
  </si>
  <si>
    <t xml:space="preserve">France Hors Ile de France </t>
  </si>
  <si>
    <t>40% comptant et 60% à 30 jours</t>
  </si>
  <si>
    <t>Export</t>
  </si>
  <si>
    <t>100% à 60j</t>
  </si>
  <si>
    <t>Ventes en quantités</t>
  </si>
  <si>
    <t>CA</t>
  </si>
  <si>
    <t>Dec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</si>
</sst>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justify" vertical="center"/>
    </xf>
    <xf numFmtId="9" fontId="0" fillId="0" borderId="0" xfId="0" applyNumberFormat="1"/>
    <xf numFmtId="164" fontId="0" fillId="0" borderId="0" xfId="0" applyNumberFormat="1"/>
    <xf numFmtId="0" fontId="0" fillId="0" borderId="1" xfId="0" applyFill="1" applyBorder="1"/>
    <xf numFmtId="0" fontId="0" fillId="0" borderId="0" xfId="0" applyFill="1" applyBorder="1"/>
    <xf numFmtId="164" fontId="0" fillId="0" borderId="0" xfId="0" applyNumberFormat="1" applyFill="1" applyBorder="1"/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right"/>
    </xf>
    <xf numFmtId="44" fontId="0" fillId="0" borderId="1" xfId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44" fontId="4" fillId="0" borderId="0" xfId="1" applyFont="1" applyBorder="1" applyAlignment="1">
      <alignment horizontal="right"/>
    </xf>
    <xf numFmtId="0" fontId="0" fillId="0" borderId="1" xfId="0" applyBorder="1" applyAlignment="1">
      <alignment wrapText="1"/>
    </xf>
    <xf numFmtId="44" fontId="0" fillId="0" borderId="1" xfId="1" applyFont="1" applyBorder="1"/>
    <xf numFmtId="44" fontId="0" fillId="0" borderId="0" xfId="1" applyFont="1" applyFill="1" applyBorder="1"/>
    <xf numFmtId="44" fontId="0" fillId="2" borderId="0" xfId="1" applyFont="1" applyFill="1"/>
    <xf numFmtId="44" fontId="0" fillId="0" borderId="0" xfId="0" applyNumberFormat="1"/>
    <xf numFmtId="0" fontId="1" fillId="3" borderId="0" xfId="0" applyFont="1" applyFill="1"/>
    <xf numFmtId="0" fontId="7" fillId="0" borderId="0" xfId="0" applyFont="1"/>
    <xf numFmtId="0" fontId="0" fillId="3" borderId="0" xfId="0" applyFill="1"/>
    <xf numFmtId="0" fontId="0" fillId="3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NumberFormat="1" applyBorder="1"/>
    <xf numFmtId="0" fontId="0" fillId="0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wrapText="1"/>
    </xf>
    <xf numFmtId="164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4" borderId="1" xfId="0" applyNumberFormat="1" applyFill="1" applyBorder="1"/>
    <xf numFmtId="165" fontId="0" fillId="3" borderId="1" xfId="0" applyNumberFormat="1" applyFill="1" applyBorder="1"/>
    <xf numFmtId="165" fontId="0" fillId="5" borderId="1" xfId="0" applyNumberFormat="1" applyFill="1" applyBorder="1"/>
    <xf numFmtId="165" fontId="0" fillId="6" borderId="1" xfId="0" applyNumberFormat="1" applyFill="1" applyBorder="1"/>
    <xf numFmtId="44" fontId="3" fillId="0" borderId="1" xfId="1" applyFont="1" applyBorder="1" applyAlignment="1">
      <alignment horizontal="right"/>
    </xf>
    <xf numFmtId="44" fontId="0" fillId="0" borderId="1" xfId="1" applyFont="1" applyBorder="1" applyAlignment="1">
      <alignment horizontal="right"/>
    </xf>
    <xf numFmtId="44" fontId="0" fillId="4" borderId="1" xfId="1" applyFont="1" applyFill="1" applyBorder="1" applyAlignment="1">
      <alignment horizontal="right"/>
    </xf>
    <xf numFmtId="44" fontId="0" fillId="3" borderId="1" xfId="1" applyFont="1" applyFill="1" applyBorder="1" applyAlignment="1">
      <alignment horizontal="right"/>
    </xf>
    <xf numFmtId="44" fontId="0" fillId="5" borderId="1" xfId="1" applyFont="1" applyFill="1" applyBorder="1" applyAlignment="1">
      <alignment horizontal="right"/>
    </xf>
    <xf numFmtId="44" fontId="0" fillId="6" borderId="1" xfId="1" applyFont="1" applyFill="1" applyBorder="1" applyAlignment="1">
      <alignment horizontal="right"/>
    </xf>
    <xf numFmtId="44" fontId="4" fillId="0" borderId="1" xfId="1" applyFont="1" applyBorder="1" applyAlignment="1">
      <alignment horizontal="right"/>
    </xf>
    <xf numFmtId="0" fontId="0" fillId="0" borderId="0" xfId="0" quotePrefix="1"/>
    <xf numFmtId="8" fontId="0" fillId="3" borderId="1" xfId="0" applyNumberFormat="1" applyFill="1" applyBorder="1"/>
    <xf numFmtId="8" fontId="0" fillId="0" borderId="1" xfId="0" applyNumberFormat="1" applyBorder="1"/>
    <xf numFmtId="6" fontId="0" fillId="0" borderId="0" xfId="0" applyNumberFormat="1"/>
    <xf numFmtId="6" fontId="0" fillId="0" borderId="1" xfId="0" applyNumberFormat="1" applyBorder="1"/>
    <xf numFmtId="0" fontId="0" fillId="0" borderId="1" xfId="0" applyBorder="1" applyAlignment="1">
      <alignment horizontal="center" wrapText="1"/>
    </xf>
    <xf numFmtId="9" fontId="0" fillId="0" borderId="1" xfId="0" applyNumberFormat="1" applyBorder="1"/>
    <xf numFmtId="9" fontId="0" fillId="6" borderId="1" xfId="0" applyNumberFormat="1" applyFill="1" applyBorder="1"/>
    <xf numFmtId="44" fontId="3" fillId="0" borderId="1" xfId="1" applyFont="1" applyBorder="1"/>
    <xf numFmtId="44" fontId="3" fillId="3" borderId="1" xfId="1" applyFont="1" applyFill="1" applyBorder="1"/>
    <xf numFmtId="44" fontId="3" fillId="0" borderId="1" xfId="1" applyFont="1" applyFill="1" applyBorder="1"/>
    <xf numFmtId="44" fontId="3" fillId="7" borderId="1" xfId="0" applyNumberFormat="1" applyFont="1" applyFill="1" applyBorder="1"/>
    <xf numFmtId="44" fontId="9" fillId="3" borderId="1" xfId="1" applyFont="1" applyFill="1" applyBorder="1"/>
    <xf numFmtId="8" fontId="3" fillId="0" borderId="1" xfId="0" applyNumberFormat="1" applyFont="1" applyBorder="1"/>
    <xf numFmtId="0" fontId="1" fillId="0" borderId="1" xfId="0" applyFont="1" applyBorder="1"/>
    <xf numFmtId="44" fontId="1" fillId="8" borderId="1" xfId="0" applyNumberFormat="1" applyFont="1" applyFill="1" applyBorder="1"/>
    <xf numFmtId="0" fontId="10" fillId="7" borderId="0" xfId="0" applyFont="1" applyFill="1" applyAlignment="1">
      <alignment vertical="center"/>
    </xf>
    <xf numFmtId="0" fontId="0" fillId="7" borderId="0" xfId="0" quotePrefix="1" applyFill="1"/>
    <xf numFmtId="8" fontId="0" fillId="0" borderId="0" xfId="0" applyNumberFormat="1"/>
    <xf numFmtId="0" fontId="10" fillId="6" borderId="0" xfId="0" applyFont="1" applyFill="1" applyAlignment="1">
      <alignment vertical="center"/>
    </xf>
    <xf numFmtId="0" fontId="0" fillId="7" borderId="0" xfId="0" applyFill="1"/>
    <xf numFmtId="0" fontId="0" fillId="9" borderId="0" xfId="0" applyFill="1"/>
    <xf numFmtId="44" fontId="6" fillId="9" borderId="0" xfId="1" applyFont="1" applyFill="1"/>
    <xf numFmtId="44" fontId="0" fillId="9" borderId="0" xfId="1" applyFont="1" applyFill="1"/>
    <xf numFmtId="44" fontId="6" fillId="0" borderId="0" xfId="0" applyNumberFormat="1" applyFont="1"/>
    <xf numFmtId="44" fontId="9" fillId="0" borderId="0" xfId="0" applyNumberFormat="1" applyFont="1"/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44" fontId="0" fillId="0" borderId="0" xfId="1" applyFont="1"/>
    <xf numFmtId="0" fontId="12" fillId="0" borderId="1" xfId="0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/>
    </xf>
    <xf numFmtId="0" fontId="11" fillId="0" borderId="1" xfId="0" applyFont="1" applyBorder="1" applyAlignment="1">
      <alignment horizontal="right" vertical="center" wrapText="1"/>
    </xf>
    <xf numFmtId="44" fontId="11" fillId="0" borderId="1" xfId="1" applyFont="1" applyBorder="1" applyAlignment="1">
      <alignment vertical="center"/>
    </xf>
    <xf numFmtId="44" fontId="11" fillId="0" borderId="1" xfId="1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44" fontId="0" fillId="6" borderId="1" xfId="1" applyFont="1" applyFill="1" applyBorder="1"/>
    <xf numFmtId="44" fontId="0" fillId="3" borderId="1" xfId="1" applyFont="1" applyFill="1" applyBorder="1"/>
    <xf numFmtId="44" fontId="1" fillId="0" borderId="1" xfId="0" applyNumberFormat="1" applyFont="1" applyBorder="1"/>
    <xf numFmtId="44" fontId="0" fillId="0" borderId="0" xfId="0" applyNumberFormat="1" applyAlignment="1">
      <alignment horizontal="center"/>
    </xf>
    <xf numFmtId="1" fontId="0" fillId="0" borderId="0" xfId="0" applyNumberFormat="1"/>
    <xf numFmtId="44" fontId="0" fillId="9" borderId="0" xfId="0" applyNumberFormat="1" applyFill="1"/>
    <xf numFmtId="44" fontId="0" fillId="6" borderId="0" xfId="0" applyNumberFormat="1" applyFill="1"/>
    <xf numFmtId="44" fontId="0" fillId="6" borderId="0" xfId="1" applyFont="1" applyFill="1"/>
    <xf numFmtId="44" fontId="11" fillId="0" borderId="0" xfId="0" applyNumberFormat="1" applyFont="1" applyAlignment="1">
      <alignment horizontal="righ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5064179350806299"/>
                  <c:y val="-0.2423501749781277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'Exercice 1'!$A$4:$A$39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xVal>
          <c:yVal>
            <c:numRef>
              <c:f>'Exercice 1'!$B$4:$B$39</c:f>
              <c:numCache>
                <c:formatCode>General</c:formatCode>
                <c:ptCount val="36"/>
                <c:pt idx="0">
                  <c:v>1200</c:v>
                </c:pt>
                <c:pt idx="1">
                  <c:v>1284</c:v>
                </c:pt>
                <c:pt idx="2">
                  <c:v>1336</c:v>
                </c:pt>
                <c:pt idx="3">
                  <c:v>1389</c:v>
                </c:pt>
                <c:pt idx="4">
                  <c:v>1486</c:v>
                </c:pt>
                <c:pt idx="5">
                  <c:v>1591</c:v>
                </c:pt>
                <c:pt idx="6">
                  <c:v>1638</c:v>
                </c:pt>
                <c:pt idx="7">
                  <c:v>1736</c:v>
                </c:pt>
                <c:pt idx="8">
                  <c:v>1823</c:v>
                </c:pt>
                <c:pt idx="9">
                  <c:v>1896</c:v>
                </c:pt>
                <c:pt idx="10">
                  <c:v>2010</c:v>
                </c:pt>
                <c:pt idx="11">
                  <c:v>2151</c:v>
                </c:pt>
                <c:pt idx="12">
                  <c:v>2301</c:v>
                </c:pt>
                <c:pt idx="13">
                  <c:v>2370</c:v>
                </c:pt>
                <c:pt idx="14">
                  <c:v>2536</c:v>
                </c:pt>
                <c:pt idx="15">
                  <c:v>2713</c:v>
                </c:pt>
                <c:pt idx="16">
                  <c:v>2822</c:v>
                </c:pt>
                <c:pt idx="17">
                  <c:v>2963</c:v>
                </c:pt>
                <c:pt idx="18">
                  <c:v>3141</c:v>
                </c:pt>
                <c:pt idx="19">
                  <c:v>3329</c:v>
                </c:pt>
                <c:pt idx="20">
                  <c:v>3462</c:v>
                </c:pt>
                <c:pt idx="21">
                  <c:v>3566</c:v>
                </c:pt>
                <c:pt idx="22">
                  <c:v>3709</c:v>
                </c:pt>
                <c:pt idx="23">
                  <c:v>3820</c:v>
                </c:pt>
                <c:pt idx="24">
                  <c:v>4087</c:v>
                </c:pt>
                <c:pt idx="25">
                  <c:v>4374</c:v>
                </c:pt>
                <c:pt idx="26">
                  <c:v>4636</c:v>
                </c:pt>
                <c:pt idx="27">
                  <c:v>4960</c:v>
                </c:pt>
                <c:pt idx="28">
                  <c:v>5258</c:v>
                </c:pt>
                <c:pt idx="29">
                  <c:v>5416</c:v>
                </c:pt>
                <c:pt idx="30">
                  <c:v>5741</c:v>
                </c:pt>
                <c:pt idx="31">
                  <c:v>6028</c:v>
                </c:pt>
                <c:pt idx="32">
                  <c:v>6389</c:v>
                </c:pt>
                <c:pt idx="33">
                  <c:v>6773</c:v>
                </c:pt>
                <c:pt idx="34">
                  <c:v>7247</c:v>
                </c:pt>
                <c:pt idx="35">
                  <c:v>7537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A28-4268-9A45-A7EDC376A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7052831"/>
        <c:axId val="729510175"/>
      </c:scatterChart>
      <c:valAx>
        <c:axId val="727052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9510175"/>
        <c:crosses val="autoZero"/>
        <c:crossBetween val="midCat"/>
      </c:valAx>
      <c:valAx>
        <c:axId val="72951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70528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1"/>
            <c:trendlineLbl>
              <c:layout>
                <c:manualLayout>
                  <c:x val="-0.4685257649081897"/>
                  <c:y val="-0.1763425925925926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'Exercice 1'!$A$4:$A$39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xVal>
          <c:yVal>
            <c:numRef>
              <c:f>'Exercice 1'!$B$4:$B$39</c:f>
              <c:numCache>
                <c:formatCode>General</c:formatCode>
                <c:ptCount val="36"/>
                <c:pt idx="0">
                  <c:v>1200</c:v>
                </c:pt>
                <c:pt idx="1">
                  <c:v>1284</c:v>
                </c:pt>
                <c:pt idx="2">
                  <c:v>1336</c:v>
                </c:pt>
                <c:pt idx="3">
                  <c:v>1389</c:v>
                </c:pt>
                <c:pt idx="4">
                  <c:v>1486</c:v>
                </c:pt>
                <c:pt idx="5">
                  <c:v>1591</c:v>
                </c:pt>
                <c:pt idx="6">
                  <c:v>1638</c:v>
                </c:pt>
                <c:pt idx="7">
                  <c:v>1736</c:v>
                </c:pt>
                <c:pt idx="8">
                  <c:v>1823</c:v>
                </c:pt>
                <c:pt idx="9">
                  <c:v>1896</c:v>
                </c:pt>
                <c:pt idx="10">
                  <c:v>2010</c:v>
                </c:pt>
                <c:pt idx="11">
                  <c:v>2151</c:v>
                </c:pt>
                <c:pt idx="12">
                  <c:v>2301</c:v>
                </c:pt>
                <c:pt idx="13">
                  <c:v>2370</c:v>
                </c:pt>
                <c:pt idx="14">
                  <c:v>2536</c:v>
                </c:pt>
                <c:pt idx="15">
                  <c:v>2713</c:v>
                </c:pt>
                <c:pt idx="16">
                  <c:v>2822</c:v>
                </c:pt>
                <c:pt idx="17">
                  <c:v>2963</c:v>
                </c:pt>
                <c:pt idx="18">
                  <c:v>3141</c:v>
                </c:pt>
                <c:pt idx="19">
                  <c:v>3329</c:v>
                </c:pt>
                <c:pt idx="20">
                  <c:v>3462</c:v>
                </c:pt>
                <c:pt idx="21">
                  <c:v>3566</c:v>
                </c:pt>
                <c:pt idx="22">
                  <c:v>3709</c:v>
                </c:pt>
                <c:pt idx="23">
                  <c:v>3820</c:v>
                </c:pt>
                <c:pt idx="24">
                  <c:v>4087</c:v>
                </c:pt>
                <c:pt idx="25">
                  <c:v>4374</c:v>
                </c:pt>
                <c:pt idx="26">
                  <c:v>4636</c:v>
                </c:pt>
                <c:pt idx="27">
                  <c:v>4960</c:v>
                </c:pt>
                <c:pt idx="28">
                  <c:v>5258</c:v>
                </c:pt>
                <c:pt idx="29">
                  <c:v>5416</c:v>
                </c:pt>
                <c:pt idx="30">
                  <c:v>5741</c:v>
                </c:pt>
                <c:pt idx="31">
                  <c:v>6028</c:v>
                </c:pt>
                <c:pt idx="32">
                  <c:v>6389</c:v>
                </c:pt>
                <c:pt idx="33">
                  <c:v>6773</c:v>
                </c:pt>
                <c:pt idx="34">
                  <c:v>7247</c:v>
                </c:pt>
                <c:pt idx="35">
                  <c:v>7537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2C8-4A65-83D8-76399054A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7052831"/>
        <c:axId val="729510175"/>
      </c:scatterChart>
      <c:valAx>
        <c:axId val="727052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9510175"/>
        <c:crosses val="autoZero"/>
        <c:crossBetween val="midCat"/>
      </c:valAx>
      <c:valAx>
        <c:axId val="72951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70528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'Exercice 2'!$A$4:$A$39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xVal>
          <c:yVal>
            <c:numRef>
              <c:f>'Exercice 2'!$B$4:$B$39</c:f>
              <c:numCache>
                <c:formatCode>General</c:formatCode>
                <c:ptCount val="36"/>
                <c:pt idx="0">
                  <c:v>1400</c:v>
                </c:pt>
                <c:pt idx="1">
                  <c:v>2200</c:v>
                </c:pt>
                <c:pt idx="2">
                  <c:v>1300</c:v>
                </c:pt>
                <c:pt idx="3">
                  <c:v>900</c:v>
                </c:pt>
                <c:pt idx="4">
                  <c:v>600</c:v>
                </c:pt>
                <c:pt idx="5">
                  <c:v>400</c:v>
                </c:pt>
                <c:pt idx="6">
                  <c:v>250</c:v>
                </c:pt>
                <c:pt idx="7">
                  <c:v>150</c:v>
                </c:pt>
                <c:pt idx="8">
                  <c:v>400</c:v>
                </c:pt>
                <c:pt idx="9">
                  <c:v>650</c:v>
                </c:pt>
                <c:pt idx="10">
                  <c:v>1050</c:v>
                </c:pt>
                <c:pt idx="11">
                  <c:v>1700</c:v>
                </c:pt>
                <c:pt idx="12">
                  <c:v>1680</c:v>
                </c:pt>
                <c:pt idx="13">
                  <c:v>2530</c:v>
                </c:pt>
                <c:pt idx="14">
                  <c:v>1479</c:v>
                </c:pt>
                <c:pt idx="15">
                  <c:v>1114</c:v>
                </c:pt>
                <c:pt idx="16">
                  <c:v>675</c:v>
                </c:pt>
                <c:pt idx="17">
                  <c:v>460</c:v>
                </c:pt>
                <c:pt idx="18">
                  <c:v>303</c:v>
                </c:pt>
                <c:pt idx="19">
                  <c:v>184</c:v>
                </c:pt>
                <c:pt idx="20">
                  <c:v>460</c:v>
                </c:pt>
                <c:pt idx="21">
                  <c:v>780</c:v>
                </c:pt>
                <c:pt idx="22">
                  <c:v>1221</c:v>
                </c:pt>
                <c:pt idx="23">
                  <c:v>2125</c:v>
                </c:pt>
                <c:pt idx="24">
                  <c:v>1995</c:v>
                </c:pt>
                <c:pt idx="25">
                  <c:v>3068</c:v>
                </c:pt>
                <c:pt idx="26">
                  <c:v>1830</c:v>
                </c:pt>
                <c:pt idx="27">
                  <c:v>1323</c:v>
                </c:pt>
                <c:pt idx="28">
                  <c:v>776</c:v>
                </c:pt>
                <c:pt idx="29">
                  <c:v>575</c:v>
                </c:pt>
                <c:pt idx="30">
                  <c:v>348</c:v>
                </c:pt>
                <c:pt idx="31">
                  <c:v>214</c:v>
                </c:pt>
                <c:pt idx="32">
                  <c:v>518</c:v>
                </c:pt>
                <c:pt idx="33">
                  <c:v>936</c:v>
                </c:pt>
                <c:pt idx="34">
                  <c:v>1435</c:v>
                </c:pt>
                <c:pt idx="35">
                  <c:v>2417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499-4519-A6E9-F07E86D29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1673615"/>
        <c:axId val="1327876079"/>
      </c:scatterChart>
      <c:valAx>
        <c:axId val="1331673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7876079"/>
        <c:crosses val="autoZero"/>
        <c:crossBetween val="midCat"/>
      </c:valAx>
      <c:valAx>
        <c:axId val="132787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16736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692038495188105E-2"/>
          <c:y val="3.7037037037037035E-2"/>
          <c:w val="0.86486351706036746"/>
          <c:h val="0.8416746864975212"/>
        </c:manualLayout>
      </c:layout>
      <c:scatterChart>
        <c:scatterStyle val="smoothMarker"/>
        <c:varyColors val="0"/>
        <c:ser>
          <c:idx val="0"/>
          <c:order val="0"/>
          <c:tx>
            <c:v>Réelle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'Exercice 3'!$A$4:$A$39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xVal>
          <c:yVal>
            <c:numRef>
              <c:f>'Exercice 3'!$B$4:$B$39</c:f>
              <c:numCache>
                <c:formatCode>General</c:formatCode>
                <c:ptCount val="36"/>
                <c:pt idx="0">
                  <c:v>3750</c:v>
                </c:pt>
                <c:pt idx="1">
                  <c:v>3000</c:v>
                </c:pt>
                <c:pt idx="2">
                  <c:v>4250</c:v>
                </c:pt>
                <c:pt idx="3">
                  <c:v>3500</c:v>
                </c:pt>
                <c:pt idx="4">
                  <c:v>2375</c:v>
                </c:pt>
                <c:pt idx="5">
                  <c:v>2500</c:v>
                </c:pt>
                <c:pt idx="6">
                  <c:v>2000</c:v>
                </c:pt>
                <c:pt idx="7">
                  <c:v>1625</c:v>
                </c:pt>
                <c:pt idx="8">
                  <c:v>3250</c:v>
                </c:pt>
                <c:pt idx="9">
                  <c:v>4500</c:v>
                </c:pt>
                <c:pt idx="10">
                  <c:v>4750</c:v>
                </c:pt>
                <c:pt idx="11">
                  <c:v>5250</c:v>
                </c:pt>
                <c:pt idx="12">
                  <c:v>3800</c:v>
                </c:pt>
                <c:pt idx="13">
                  <c:v>3125</c:v>
                </c:pt>
                <c:pt idx="14">
                  <c:v>4125</c:v>
                </c:pt>
                <c:pt idx="15">
                  <c:v>3000</c:v>
                </c:pt>
                <c:pt idx="16">
                  <c:v>2500</c:v>
                </c:pt>
                <c:pt idx="17">
                  <c:v>2375</c:v>
                </c:pt>
                <c:pt idx="18">
                  <c:v>2125</c:v>
                </c:pt>
                <c:pt idx="19">
                  <c:v>1750</c:v>
                </c:pt>
                <c:pt idx="20">
                  <c:v>3625</c:v>
                </c:pt>
                <c:pt idx="21">
                  <c:v>4875</c:v>
                </c:pt>
                <c:pt idx="22">
                  <c:v>5000</c:v>
                </c:pt>
                <c:pt idx="23">
                  <c:v>5125</c:v>
                </c:pt>
                <c:pt idx="24">
                  <c:v>3920</c:v>
                </c:pt>
                <c:pt idx="25">
                  <c:v>3225</c:v>
                </c:pt>
                <c:pt idx="26">
                  <c:v>4300</c:v>
                </c:pt>
                <c:pt idx="27">
                  <c:v>3010</c:v>
                </c:pt>
                <c:pt idx="28">
                  <c:v>2580</c:v>
                </c:pt>
                <c:pt idx="29">
                  <c:v>2450</c:v>
                </c:pt>
                <c:pt idx="30">
                  <c:v>2300</c:v>
                </c:pt>
                <c:pt idx="31">
                  <c:v>1890</c:v>
                </c:pt>
                <c:pt idx="32">
                  <c:v>3890</c:v>
                </c:pt>
                <c:pt idx="33">
                  <c:v>5050</c:v>
                </c:pt>
                <c:pt idx="34">
                  <c:v>5360</c:v>
                </c:pt>
                <c:pt idx="35">
                  <c:v>5420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19-4621-96D8-145A7B567F5F}"/>
            </c:ext>
          </c:extLst>
        </c:ser>
        <c:ser>
          <c:idx val="1"/>
          <c:order val="1"/>
          <c:tx>
            <c:v>MM3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3541421963138585"/>
                  <c:y val="0.446955750249528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'Exercice 3'!$A$5:$A$38</c:f>
              <c:numCache>
                <c:formatCode>General</c:formatCode>
                <c:ptCount val="3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</c:numCache>
            </c:numRef>
          </c:xVal>
          <c:yVal>
            <c:numRef>
              <c:f>'Exercice 3'!$C$5:$C$38</c:f>
              <c:numCache>
                <c:formatCode>General</c:formatCode>
                <c:ptCount val="34"/>
                <c:pt idx="1">
                  <c:v>3375</c:v>
                </c:pt>
                <c:pt idx="2">
                  <c:v>3125</c:v>
                </c:pt>
                <c:pt idx="3">
                  <c:v>2925</c:v>
                </c:pt>
                <c:pt idx="4">
                  <c:v>2400</c:v>
                </c:pt>
                <c:pt idx="5">
                  <c:v>2350</c:v>
                </c:pt>
                <c:pt idx="6">
                  <c:v>2775</c:v>
                </c:pt>
                <c:pt idx="7">
                  <c:v>3225</c:v>
                </c:pt>
                <c:pt idx="8">
                  <c:v>3875</c:v>
                </c:pt>
                <c:pt idx="9">
                  <c:v>4310</c:v>
                </c:pt>
                <c:pt idx="10">
                  <c:v>4285</c:v>
                </c:pt>
                <c:pt idx="11">
                  <c:v>4210</c:v>
                </c:pt>
                <c:pt idx="12">
                  <c:v>3860</c:v>
                </c:pt>
                <c:pt idx="13">
                  <c:v>3310</c:v>
                </c:pt>
                <c:pt idx="14">
                  <c:v>3025</c:v>
                </c:pt>
                <c:pt idx="15">
                  <c:v>2825</c:v>
                </c:pt>
                <c:pt idx="16">
                  <c:v>2350</c:v>
                </c:pt>
                <c:pt idx="17">
                  <c:v>2475</c:v>
                </c:pt>
                <c:pt idx="18">
                  <c:v>2950</c:v>
                </c:pt>
                <c:pt idx="19">
                  <c:v>3475</c:v>
                </c:pt>
                <c:pt idx="20">
                  <c:v>4075</c:v>
                </c:pt>
                <c:pt idx="21">
                  <c:v>4509</c:v>
                </c:pt>
                <c:pt idx="22">
                  <c:v>4429</c:v>
                </c:pt>
                <c:pt idx="23">
                  <c:v>4314</c:v>
                </c:pt>
                <c:pt idx="24">
                  <c:v>3916</c:v>
                </c:pt>
                <c:pt idx="25">
                  <c:v>3407</c:v>
                </c:pt>
                <c:pt idx="26">
                  <c:v>3113</c:v>
                </c:pt>
                <c:pt idx="27">
                  <c:v>2928</c:v>
                </c:pt>
                <c:pt idx="28">
                  <c:v>2446</c:v>
                </c:pt>
                <c:pt idx="29">
                  <c:v>2622</c:v>
                </c:pt>
                <c:pt idx="30">
                  <c:v>3116</c:v>
                </c:pt>
                <c:pt idx="31">
                  <c:v>3698</c:v>
                </c:pt>
                <c:pt idx="32">
                  <c:v>4322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419-4621-96D8-145A7B567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2886815"/>
        <c:axId val="852887439"/>
      </c:scatterChart>
      <c:valAx>
        <c:axId val="1552886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2887439"/>
        <c:crosses val="autoZero"/>
        <c:crossBetween val="midCat"/>
      </c:valAx>
      <c:valAx>
        <c:axId val="852887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528868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692038495188105E-2"/>
          <c:y val="3.7037037037037035E-2"/>
          <c:w val="0.86486351706036746"/>
          <c:h val="0.8416746864975212"/>
        </c:manualLayout>
      </c:layout>
      <c:scatterChart>
        <c:scatterStyle val="smoothMarker"/>
        <c:varyColors val="0"/>
        <c:ser>
          <c:idx val="0"/>
          <c:order val="0"/>
          <c:tx>
            <c:v>Réelle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'Exercice 3'!$A$48:$A$83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xVal>
          <c:yVal>
            <c:numRef>
              <c:f>'Exercice 3'!$B$48:$B$83</c:f>
              <c:numCache>
                <c:formatCode>General</c:formatCode>
                <c:ptCount val="36"/>
                <c:pt idx="0">
                  <c:v>3750</c:v>
                </c:pt>
                <c:pt idx="1">
                  <c:v>3000</c:v>
                </c:pt>
                <c:pt idx="2">
                  <c:v>4250</c:v>
                </c:pt>
                <c:pt idx="3">
                  <c:v>3500</c:v>
                </c:pt>
                <c:pt idx="4">
                  <c:v>2375</c:v>
                </c:pt>
                <c:pt idx="5">
                  <c:v>2500</c:v>
                </c:pt>
                <c:pt idx="6">
                  <c:v>2000</c:v>
                </c:pt>
                <c:pt idx="7">
                  <c:v>1625</c:v>
                </c:pt>
                <c:pt idx="8">
                  <c:v>3250</c:v>
                </c:pt>
                <c:pt idx="9">
                  <c:v>4500</c:v>
                </c:pt>
                <c:pt idx="10">
                  <c:v>4750</c:v>
                </c:pt>
                <c:pt idx="11">
                  <c:v>5250</c:v>
                </c:pt>
                <c:pt idx="12">
                  <c:v>3800</c:v>
                </c:pt>
                <c:pt idx="13">
                  <c:v>3125</c:v>
                </c:pt>
                <c:pt idx="14">
                  <c:v>4125</c:v>
                </c:pt>
                <c:pt idx="15">
                  <c:v>3000</c:v>
                </c:pt>
                <c:pt idx="16">
                  <c:v>2500</c:v>
                </c:pt>
                <c:pt idx="17">
                  <c:v>2375</c:v>
                </c:pt>
                <c:pt idx="18">
                  <c:v>2125</c:v>
                </c:pt>
                <c:pt idx="19">
                  <c:v>1750</c:v>
                </c:pt>
                <c:pt idx="20">
                  <c:v>3625</c:v>
                </c:pt>
                <c:pt idx="21">
                  <c:v>4875</c:v>
                </c:pt>
                <c:pt idx="22">
                  <c:v>5000</c:v>
                </c:pt>
                <c:pt idx="23">
                  <c:v>5125</c:v>
                </c:pt>
                <c:pt idx="24">
                  <c:v>3920</c:v>
                </c:pt>
                <c:pt idx="25">
                  <c:v>3225</c:v>
                </c:pt>
                <c:pt idx="26">
                  <c:v>4300</c:v>
                </c:pt>
                <c:pt idx="27">
                  <c:v>3010</c:v>
                </c:pt>
                <c:pt idx="28">
                  <c:v>2580</c:v>
                </c:pt>
                <c:pt idx="29">
                  <c:v>2450</c:v>
                </c:pt>
                <c:pt idx="30">
                  <c:v>2300</c:v>
                </c:pt>
                <c:pt idx="31">
                  <c:v>1890</c:v>
                </c:pt>
                <c:pt idx="32">
                  <c:v>3890</c:v>
                </c:pt>
                <c:pt idx="33">
                  <c:v>5050</c:v>
                </c:pt>
                <c:pt idx="34">
                  <c:v>5360</c:v>
                </c:pt>
                <c:pt idx="35">
                  <c:v>5420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AF-4074-9FCE-74801CF5E62A}"/>
            </c:ext>
          </c:extLst>
        </c:ser>
        <c:ser>
          <c:idx val="1"/>
          <c:order val="1"/>
          <c:tx>
            <c:v>MM11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2216755577854459"/>
                  <c:y val="-0.294067378901580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'Exercice 3'!$A$53:$A$78</c:f>
              <c:numCache>
                <c:formatCode>General</c:formatCode>
                <c:ptCount val="2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</c:numCache>
            </c:numRef>
          </c:xVal>
          <c:yVal>
            <c:numRef>
              <c:f>'Exercice 3'!$C$53:$C$78</c:f>
              <c:numCache>
                <c:formatCode>General</c:formatCode>
                <c:ptCount val="26"/>
                <c:pt idx="0">
                  <c:v>3227.2727272727275</c:v>
                </c:pt>
                <c:pt idx="1">
                  <c:v>3363.6363636363635</c:v>
                </c:pt>
                <c:pt idx="2">
                  <c:v>3436.3636363636365</c:v>
                </c:pt>
                <c:pt idx="3">
                  <c:v>3334.090909090909</c:v>
                </c:pt>
                <c:pt idx="4">
                  <c:v>3390.909090909091</c:v>
                </c:pt>
                <c:pt idx="5">
                  <c:v>3447.7272727272725</c:v>
                </c:pt>
                <c:pt idx="6">
                  <c:v>3447.7272727272725</c:v>
                </c:pt>
                <c:pt idx="7">
                  <c:v>3481.818181818182</c:v>
                </c:pt>
                <c:pt idx="8">
                  <c:v>3527.2727272727275</c:v>
                </c:pt>
                <c:pt idx="9">
                  <c:v>3390.909090909091</c:v>
                </c:pt>
                <c:pt idx="10">
                  <c:v>3311.3636363636365</c:v>
                </c:pt>
                <c:pt idx="11">
                  <c:v>3322.7272727272725</c:v>
                </c:pt>
                <c:pt idx="12">
                  <c:v>3300</c:v>
                </c:pt>
                <c:pt idx="13">
                  <c:v>3420.4545454545455</c:v>
                </c:pt>
                <c:pt idx="14">
                  <c:v>3492.7272727272725</c:v>
                </c:pt>
                <c:pt idx="15">
                  <c:v>3410.909090909091</c:v>
                </c:pt>
                <c:pt idx="16">
                  <c:v>3529.090909090909</c:v>
                </c:pt>
                <c:pt idx="17">
                  <c:v>3575.4545454545455</c:v>
                </c:pt>
                <c:pt idx="18">
                  <c:v>3594.090909090909</c:v>
                </c:pt>
                <c:pt idx="19">
                  <c:v>3623.6363636363635</c:v>
                </c:pt>
                <c:pt idx="20">
                  <c:v>3673.6363636363635</c:v>
                </c:pt>
                <c:pt idx="21">
                  <c:v>3515.909090909091</c:v>
                </c:pt>
                <c:pt idx="22">
                  <c:v>3426.3636363636365</c:v>
                </c:pt>
                <c:pt idx="23">
                  <c:v>3430.909090909091</c:v>
                </c:pt>
                <c:pt idx="24">
                  <c:v>3452.2727272727275</c:v>
                </c:pt>
                <c:pt idx="25">
                  <c:v>3588.6363636363635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EAF-4074-9FCE-74801CF5E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2886815"/>
        <c:axId val="852887439"/>
      </c:scatterChart>
      <c:valAx>
        <c:axId val="1552886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2887439"/>
        <c:crosses val="autoZero"/>
        <c:crossBetween val="midCat"/>
      </c:valAx>
      <c:valAx>
        <c:axId val="852887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528868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MM7</c:v>
          </c:tx>
          <c:trendline>
            <c:trendlineType val="linear"/>
            <c:dispRSqr val="0"/>
            <c:dispEq val="1"/>
            <c:trendlineLbl>
              <c:layout>
                <c:manualLayout>
                  <c:x val="-0.35037316763975934"/>
                  <c:y val="-0.26752152881716229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/>
                  </a:pPr>
                  <a:endParaRPr lang="fr-FR"/>
                </a:p>
              </c:txPr>
            </c:trendlineLbl>
          </c:trendline>
          <c:xVal>
            <c:numRef>
              <c:f>'Exercice 4'!$A$8:$A$61</c:f>
              <c:numCache>
                <c:formatCode>General</c:formatCode>
                <c:ptCount val="5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</c:numCache>
            </c:numRef>
          </c:xVal>
          <c:yVal>
            <c:numRef>
              <c:f>'Exercice 4'!$C$8:$C$61</c:f>
              <c:numCache>
                <c:formatCode>0</c:formatCode>
                <c:ptCount val="54"/>
                <c:pt idx="0">
                  <c:v>1948.1428571428571</c:v>
                </c:pt>
                <c:pt idx="1">
                  <c:v>1890.1428571428571</c:v>
                </c:pt>
                <c:pt idx="2">
                  <c:v>1882.5714285714287</c:v>
                </c:pt>
                <c:pt idx="3">
                  <c:v>1969.1428571428571</c:v>
                </c:pt>
                <c:pt idx="4">
                  <c:v>2044.5714285714287</c:v>
                </c:pt>
                <c:pt idx="5">
                  <c:v>1939.2857142857142</c:v>
                </c:pt>
                <c:pt idx="6">
                  <c:v>1998.6757142857143</c:v>
                </c:pt>
                <c:pt idx="7">
                  <c:v>2098.4428571428571</c:v>
                </c:pt>
                <c:pt idx="8">
                  <c:v>2083.9657142857141</c:v>
                </c:pt>
                <c:pt idx="9">
                  <c:v>2019.7642857142855</c:v>
                </c:pt>
                <c:pt idx="10">
                  <c:v>2041.1428571428569</c:v>
                </c:pt>
                <c:pt idx="11">
                  <c:v>1976.1957142857143</c:v>
                </c:pt>
                <c:pt idx="12">
                  <c:v>1986.2628571428572</c:v>
                </c:pt>
                <c:pt idx="13">
                  <c:v>1930.207142857143</c:v>
                </c:pt>
                <c:pt idx="14">
                  <c:v>1922.4085714285716</c:v>
                </c:pt>
                <c:pt idx="15">
                  <c:v>2013.91</c:v>
                </c:pt>
                <c:pt idx="16">
                  <c:v>2090.0928571428572</c:v>
                </c:pt>
                <c:pt idx="17">
                  <c:v>1988.4057142857143</c:v>
                </c:pt>
                <c:pt idx="18">
                  <c:v>2049.5774142857144</c:v>
                </c:pt>
                <c:pt idx="19">
                  <c:v>2148.9841857142856</c:v>
                </c:pt>
                <c:pt idx="20">
                  <c:v>2134.2174999999997</c:v>
                </c:pt>
                <c:pt idx="21">
                  <c:v>2065.5520428571431</c:v>
                </c:pt>
                <c:pt idx="22">
                  <c:v>2080.7472571428571</c:v>
                </c:pt>
                <c:pt idx="23">
                  <c:v>2017.7683142857145</c:v>
                </c:pt>
                <c:pt idx="24">
                  <c:v>2023.2847000000002</c:v>
                </c:pt>
                <c:pt idx="25">
                  <c:v>1965.5473142857143</c:v>
                </c:pt>
                <c:pt idx="26">
                  <c:v>1957.5927714285715</c:v>
                </c:pt>
                <c:pt idx="27">
                  <c:v>2047.6297</c:v>
                </c:pt>
                <c:pt idx="28">
                  <c:v>2122.0364</c:v>
                </c:pt>
                <c:pt idx="29">
                  <c:v>2024.1233571428572</c:v>
                </c:pt>
                <c:pt idx="30">
                  <c:v>2083.2637285714286</c:v>
                </c:pt>
                <c:pt idx="31">
                  <c:v>2190.4844857142857</c:v>
                </c:pt>
                <c:pt idx="32">
                  <c:v>2172.854457142857</c:v>
                </c:pt>
                <c:pt idx="33">
                  <c:v>2102.763657142857</c:v>
                </c:pt>
                <c:pt idx="34">
                  <c:v>2125.0162714285716</c:v>
                </c:pt>
                <c:pt idx="35">
                  <c:v>2066.7350285714283</c:v>
                </c:pt>
                <c:pt idx="36">
                  <c:v>2067.5714285714284</c:v>
                </c:pt>
                <c:pt idx="37">
                  <c:v>2009.2857142857142</c:v>
                </c:pt>
                <c:pt idx="38">
                  <c:v>1997.7142857142858</c:v>
                </c:pt>
                <c:pt idx="39">
                  <c:v>2086.2857142857142</c:v>
                </c:pt>
                <c:pt idx="40">
                  <c:v>2158.8571428571427</c:v>
                </c:pt>
                <c:pt idx="41">
                  <c:v>2058</c:v>
                </c:pt>
                <c:pt idx="42">
                  <c:v>2115.7142857142858</c:v>
                </c:pt>
                <c:pt idx="43">
                  <c:v>2231</c:v>
                </c:pt>
                <c:pt idx="44">
                  <c:v>2215.7142857142858</c:v>
                </c:pt>
                <c:pt idx="45">
                  <c:v>2146.8571428571427</c:v>
                </c:pt>
                <c:pt idx="46">
                  <c:v>2169.2857142857142</c:v>
                </c:pt>
                <c:pt idx="47">
                  <c:v>2116</c:v>
                </c:pt>
                <c:pt idx="48">
                  <c:v>2114.4285714285716</c:v>
                </c:pt>
                <c:pt idx="49">
                  <c:v>2052.2857142857142</c:v>
                </c:pt>
                <c:pt idx="50">
                  <c:v>2033.5714285714287</c:v>
                </c:pt>
                <c:pt idx="51">
                  <c:v>2123.8571428571427</c:v>
                </c:pt>
                <c:pt idx="52">
                  <c:v>2198.7142857142858</c:v>
                </c:pt>
                <c:pt idx="53">
                  <c:v>2101.8571428571427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FB5-4C1A-8CD7-57C2A120536C}"/>
            </c:ext>
          </c:extLst>
        </c:ser>
        <c:ser>
          <c:idx val="1"/>
          <c:order val="1"/>
          <c:tx>
            <c:v>Réel</c:v>
          </c:tx>
          <c:xVal>
            <c:numRef>
              <c:f>'Exercice 4'!$A$5:$A$64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'Exercice 4'!$B$5:$B$64</c:f>
              <c:numCache>
                <c:formatCode>0</c:formatCode>
                <c:ptCount val="60"/>
                <c:pt idx="0">
                  <c:v>2173</c:v>
                </c:pt>
                <c:pt idx="1">
                  <c:v>2279</c:v>
                </c:pt>
                <c:pt idx="2">
                  <c:v>1633</c:v>
                </c:pt>
                <c:pt idx="3">
                  <c:v>1759</c:v>
                </c:pt>
                <c:pt idx="4">
                  <c:v>2365</c:v>
                </c:pt>
                <c:pt idx="5">
                  <c:v>1779</c:v>
                </c:pt>
                <c:pt idx="6">
                  <c:v>1649</c:v>
                </c:pt>
                <c:pt idx="7">
                  <c:v>1767</c:v>
                </c:pt>
                <c:pt idx="8">
                  <c:v>2226</c:v>
                </c:pt>
                <c:pt idx="9">
                  <c:v>2239</c:v>
                </c:pt>
                <c:pt idx="10">
                  <c:v>2287</c:v>
                </c:pt>
                <c:pt idx="11">
                  <c:v>1628</c:v>
                </c:pt>
                <c:pt idx="12">
                  <c:v>2194.73</c:v>
                </c:pt>
                <c:pt idx="13">
                  <c:v>2347.37</c:v>
                </c:pt>
                <c:pt idx="14">
                  <c:v>1665.66</c:v>
                </c:pt>
                <c:pt idx="15">
                  <c:v>1776.59</c:v>
                </c:pt>
                <c:pt idx="16">
                  <c:v>2388.65</c:v>
                </c:pt>
                <c:pt idx="17">
                  <c:v>1832.3700000000001</c:v>
                </c:pt>
                <c:pt idx="18">
                  <c:v>1698.47</c:v>
                </c:pt>
                <c:pt idx="19">
                  <c:v>1802.34</c:v>
                </c:pt>
                <c:pt idx="20">
                  <c:v>2292.7800000000002</c:v>
                </c:pt>
                <c:pt idx="21">
                  <c:v>2306.17</c:v>
                </c:pt>
                <c:pt idx="22">
                  <c:v>2309.87</c:v>
                </c:pt>
                <c:pt idx="23">
                  <c:v>1676.8400000000001</c:v>
                </c:pt>
                <c:pt idx="24">
                  <c:v>2260.5718999999999</c:v>
                </c:pt>
                <c:pt idx="25">
                  <c:v>2394.3173999999999</c:v>
                </c:pt>
                <c:pt idx="26">
                  <c:v>1698.9732000000001</c:v>
                </c:pt>
                <c:pt idx="27">
                  <c:v>1812.1217999999999</c:v>
                </c:pt>
                <c:pt idx="28">
                  <c:v>2412.5365000000002</c:v>
                </c:pt>
                <c:pt idx="29">
                  <c:v>1869.0174000000002</c:v>
                </c:pt>
                <c:pt idx="30">
                  <c:v>1715.4547</c:v>
                </c:pt>
                <c:pt idx="31">
                  <c:v>1856.4102</c:v>
                </c:pt>
                <c:pt idx="32">
                  <c:v>2338.6356000000001</c:v>
                </c:pt>
                <c:pt idx="33">
                  <c:v>2329.2317000000003</c:v>
                </c:pt>
                <c:pt idx="34">
                  <c:v>2332.9686999999999</c:v>
                </c:pt>
                <c:pt idx="35">
                  <c:v>1727.1452000000002</c:v>
                </c:pt>
                <c:pt idx="36" formatCode="General">
                  <c:v>2283</c:v>
                </c:pt>
                <c:pt idx="37" formatCode="General">
                  <c:v>2466</c:v>
                </c:pt>
                <c:pt idx="38" formatCode="General">
                  <c:v>1733</c:v>
                </c:pt>
                <c:pt idx="39" formatCode="General">
                  <c:v>1848</c:v>
                </c:pt>
                <c:pt idx="40" formatCode="General">
                  <c:v>2485</c:v>
                </c:pt>
                <c:pt idx="41" formatCode="General">
                  <c:v>1925</c:v>
                </c:pt>
                <c:pt idx="42" formatCode="General">
                  <c:v>1733</c:v>
                </c:pt>
                <c:pt idx="43" formatCode="General">
                  <c:v>1875</c:v>
                </c:pt>
                <c:pt idx="44" formatCode="General">
                  <c:v>2385</c:v>
                </c:pt>
                <c:pt idx="45" formatCode="General">
                  <c:v>2353</c:v>
                </c:pt>
                <c:pt idx="46" formatCode="General">
                  <c:v>2356</c:v>
                </c:pt>
                <c:pt idx="47" formatCode="General">
                  <c:v>1779</c:v>
                </c:pt>
                <c:pt idx="48" formatCode="General">
                  <c:v>2329</c:v>
                </c:pt>
                <c:pt idx="49" formatCode="General">
                  <c:v>2540</c:v>
                </c:pt>
                <c:pt idx="50" formatCode="General">
                  <c:v>1768</c:v>
                </c:pt>
                <c:pt idx="51" formatCode="General">
                  <c:v>1903</c:v>
                </c:pt>
                <c:pt idx="52" formatCode="General">
                  <c:v>2510</c:v>
                </c:pt>
                <c:pt idx="53" formatCode="General">
                  <c:v>1983</c:v>
                </c:pt>
                <c:pt idx="54" formatCode="General">
                  <c:v>1768</c:v>
                </c:pt>
                <c:pt idx="55" formatCode="General">
                  <c:v>1894</c:v>
                </c:pt>
                <c:pt idx="56" formatCode="General">
                  <c:v>2409</c:v>
                </c:pt>
                <c:pt idx="57" formatCode="General">
                  <c:v>2400</c:v>
                </c:pt>
                <c:pt idx="58" formatCode="General">
                  <c:v>2427</c:v>
                </c:pt>
                <c:pt idx="59" formatCode="General">
                  <c:v>1832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FB5-4C1A-8CD7-57C2A1205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606495"/>
        <c:axId val="1539613343"/>
      </c:scatterChart>
      <c:valAx>
        <c:axId val="15476064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Donnée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39613343"/>
        <c:crosses val="autoZero"/>
        <c:crossBetween val="midCat"/>
      </c:valAx>
      <c:valAx>
        <c:axId val="1539613343"/>
        <c:scaling>
          <c:orientation val="minMax"/>
          <c:min val="1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Valeurs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547606495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692038495188105E-2"/>
          <c:y val="3.7037037037037035E-2"/>
          <c:w val="0.86486351706036746"/>
          <c:h val="0.8416746864975212"/>
        </c:manualLayout>
      </c:layout>
      <c:scatterChart>
        <c:scatterStyle val="smoothMarker"/>
        <c:varyColors val="0"/>
        <c:ser>
          <c:idx val="0"/>
          <c:order val="0"/>
          <c:tx>
            <c:v>Réelle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'Exercice 5'!$A$4:$A$39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xVal>
          <c:yVal>
            <c:numRef>
              <c:f>'Exercice 5'!$B$4:$B$39</c:f>
              <c:numCache>
                <c:formatCode>General</c:formatCode>
                <c:ptCount val="36"/>
                <c:pt idx="0">
                  <c:v>3750</c:v>
                </c:pt>
                <c:pt idx="1">
                  <c:v>3000</c:v>
                </c:pt>
                <c:pt idx="2">
                  <c:v>4250</c:v>
                </c:pt>
                <c:pt idx="3">
                  <c:v>3500</c:v>
                </c:pt>
                <c:pt idx="4">
                  <c:v>2375</c:v>
                </c:pt>
                <c:pt idx="5">
                  <c:v>2500</c:v>
                </c:pt>
                <c:pt idx="6">
                  <c:v>2000</c:v>
                </c:pt>
                <c:pt idx="7">
                  <c:v>1625</c:v>
                </c:pt>
                <c:pt idx="8">
                  <c:v>3250</c:v>
                </c:pt>
                <c:pt idx="9">
                  <c:v>4500</c:v>
                </c:pt>
                <c:pt idx="10">
                  <c:v>4750</c:v>
                </c:pt>
                <c:pt idx="11">
                  <c:v>5250</c:v>
                </c:pt>
                <c:pt idx="12">
                  <c:v>3800</c:v>
                </c:pt>
                <c:pt idx="13">
                  <c:v>3125</c:v>
                </c:pt>
                <c:pt idx="14">
                  <c:v>4125</c:v>
                </c:pt>
                <c:pt idx="15">
                  <c:v>3000</c:v>
                </c:pt>
                <c:pt idx="16">
                  <c:v>2500</c:v>
                </c:pt>
                <c:pt idx="17">
                  <c:v>2375</c:v>
                </c:pt>
                <c:pt idx="18">
                  <c:v>2125</c:v>
                </c:pt>
                <c:pt idx="19">
                  <c:v>1750</c:v>
                </c:pt>
                <c:pt idx="20">
                  <c:v>3625</c:v>
                </c:pt>
                <c:pt idx="21">
                  <c:v>4875</c:v>
                </c:pt>
                <c:pt idx="22">
                  <c:v>5000</c:v>
                </c:pt>
                <c:pt idx="23">
                  <c:v>5125</c:v>
                </c:pt>
                <c:pt idx="24">
                  <c:v>3920</c:v>
                </c:pt>
                <c:pt idx="25">
                  <c:v>3225</c:v>
                </c:pt>
                <c:pt idx="26">
                  <c:v>4300</c:v>
                </c:pt>
                <c:pt idx="27">
                  <c:v>3010</c:v>
                </c:pt>
                <c:pt idx="28">
                  <c:v>2580</c:v>
                </c:pt>
                <c:pt idx="29">
                  <c:v>2450</c:v>
                </c:pt>
                <c:pt idx="30">
                  <c:v>2300</c:v>
                </c:pt>
                <c:pt idx="31">
                  <c:v>1890</c:v>
                </c:pt>
                <c:pt idx="32">
                  <c:v>3890</c:v>
                </c:pt>
                <c:pt idx="33">
                  <c:v>5050</c:v>
                </c:pt>
                <c:pt idx="34">
                  <c:v>5360</c:v>
                </c:pt>
                <c:pt idx="35">
                  <c:v>5420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E9-4F17-AAFB-0F4D87F02477}"/>
            </c:ext>
          </c:extLst>
        </c:ser>
        <c:ser>
          <c:idx val="1"/>
          <c:order val="1"/>
          <c:tx>
            <c:v>MM4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3541421963138585"/>
                  <c:y val="0.446955750249528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'Exercice 5'!$A$6:$A$37</c:f>
              <c:numCache>
                <c:formatCode>General</c:formatCode>
                <c:ptCount val="3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</c:numCache>
            </c:numRef>
          </c:xVal>
          <c:yVal>
            <c:numRef>
              <c:f>'Exercice 5'!$C$6:$C$37</c:f>
              <c:numCache>
                <c:formatCode>General</c:formatCode>
                <c:ptCount val="32"/>
                <c:pt idx="0">
                  <c:v>3453.125</c:v>
                </c:pt>
                <c:pt idx="1">
                  <c:v>3218.75</c:v>
                </c:pt>
                <c:pt idx="2">
                  <c:v>2875</c:v>
                </c:pt>
                <c:pt idx="3">
                  <c:v>2359.375</c:v>
                </c:pt>
                <c:pt idx="4">
                  <c:v>2234.375</c:v>
                </c:pt>
                <c:pt idx="5">
                  <c:v>2593.75</c:v>
                </c:pt>
                <c:pt idx="6">
                  <c:v>3187.5</c:v>
                </c:pt>
                <c:pt idx="7">
                  <c:v>3984.375</c:v>
                </c:pt>
                <c:pt idx="8">
                  <c:v>4506.25</c:v>
                </c:pt>
                <c:pt idx="9">
                  <c:v>4403.125</c:v>
                </c:pt>
                <c:pt idx="10">
                  <c:v>4153.125</c:v>
                </c:pt>
                <c:pt idx="11">
                  <c:v>3793.75</c:v>
                </c:pt>
                <c:pt idx="12">
                  <c:v>3350</c:v>
                </c:pt>
                <c:pt idx="13">
                  <c:v>3093.75</c:v>
                </c:pt>
                <c:pt idx="14">
                  <c:v>2750</c:v>
                </c:pt>
                <c:pt idx="15">
                  <c:v>2343.75</c:v>
                </c:pt>
                <c:pt idx="16">
                  <c:v>2328.125</c:v>
                </c:pt>
                <c:pt idx="17">
                  <c:v>2781.25</c:v>
                </c:pt>
                <c:pt idx="18">
                  <c:v>3453.125</c:v>
                </c:pt>
                <c:pt idx="19">
                  <c:v>4234.375</c:v>
                </c:pt>
                <c:pt idx="20">
                  <c:v>4693.125</c:v>
                </c:pt>
                <c:pt idx="21">
                  <c:v>4523.75</c:v>
                </c:pt>
                <c:pt idx="22">
                  <c:v>4230</c:v>
                </c:pt>
                <c:pt idx="23">
                  <c:v>3878.125</c:v>
                </c:pt>
                <c:pt idx="24">
                  <c:v>3446.25</c:v>
                </c:pt>
                <c:pt idx="25">
                  <c:v>3181.875</c:v>
                </c:pt>
                <c:pt idx="26">
                  <c:v>2835</c:v>
                </c:pt>
                <c:pt idx="27">
                  <c:v>2445</c:v>
                </c:pt>
                <c:pt idx="28">
                  <c:v>2468.75</c:v>
                </c:pt>
                <c:pt idx="29">
                  <c:v>2957.5</c:v>
                </c:pt>
                <c:pt idx="30">
                  <c:v>3665</c:v>
                </c:pt>
                <c:pt idx="31">
                  <c:v>4488.75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CE9-4F17-AAFB-0F4D87F02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2886815"/>
        <c:axId val="852887439"/>
      </c:scatterChart>
      <c:valAx>
        <c:axId val="1552886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2887439"/>
        <c:crosses val="autoZero"/>
        <c:crossBetween val="midCat"/>
      </c:valAx>
      <c:valAx>
        <c:axId val="852887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528868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7</xdr:row>
      <xdr:rowOff>0</xdr:rowOff>
    </xdr:from>
    <xdr:to>
      <xdr:col>11</xdr:col>
      <xdr:colOff>15240</xdr:colOff>
      <xdr:row>22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17ACF38-7FCD-4A9B-A02C-7FFF78695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</xdr:row>
      <xdr:rowOff>0</xdr:rowOff>
    </xdr:from>
    <xdr:to>
      <xdr:col>16</xdr:col>
      <xdr:colOff>586740</xdr:colOff>
      <xdr:row>22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FD9639D-332A-4C01-A1D6-C2A653EBD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</xdr:row>
      <xdr:rowOff>68580</xdr:rowOff>
    </xdr:from>
    <xdr:to>
      <xdr:col>9</xdr:col>
      <xdr:colOff>685800</xdr:colOff>
      <xdr:row>18</xdr:row>
      <xdr:rowOff>68580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92296FC-C14F-4B15-9629-3055FC837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320040</xdr:colOff>
      <xdr:row>6</xdr:row>
      <xdr:rowOff>22860</xdr:rowOff>
    </xdr:from>
    <xdr:to>
      <xdr:col>11</xdr:col>
      <xdr:colOff>289560</xdr:colOff>
      <xdr:row>23</xdr:row>
      <xdr:rowOff>160020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A60DB9C-AAA8-454A-811F-D5BD68355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320040</xdr:colOff>
      <xdr:row>50</xdr:row>
      <xdr:rowOff>22860</xdr:rowOff>
    </xdr:from>
    <xdr:to>
      <xdr:col>11</xdr:col>
      <xdr:colOff>289560</xdr:colOff>
      <xdr:row>67</xdr:row>
      <xdr:rowOff>160020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3190481-FDB6-4DC7-AD44-160A50586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198120</xdr:colOff>
      <xdr:row>5</xdr:row>
      <xdr:rowOff>7620</xdr:rowOff>
    </xdr:from>
    <xdr:to>
      <xdr:col>13</xdr:col>
      <xdr:colOff>746760</xdr:colOff>
      <xdr:row>30</xdr:row>
      <xdr:rowOff>45720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645B92E-1D5C-4916-B1DA-83BB28810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320040</xdr:colOff>
      <xdr:row>6</xdr:row>
      <xdr:rowOff>22860</xdr:rowOff>
    </xdr:from>
    <xdr:to>
      <xdr:col>11</xdr:col>
      <xdr:colOff>289560</xdr:colOff>
      <xdr:row>23</xdr:row>
      <xdr:rowOff>160020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0AA1B15-95F5-4C57-ADEE-66E9E8ED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C6DB2-2EB0-4D07-A949-B94EFE4B4245}">
  <dimension ref="A3:Q39"/>
  <sheetViews>
    <sheetView topLeftCell="A10" workbookViewId="0">
      <selection activeCell="P24" sqref="P24"/>
    </sheetView>
  </sheetViews>
  <sheetFormatPr baseColWidth="10" defaultRowHeight="14.4" x14ac:dyDescent="0.3"/>
  <cols>
    <col min="6" max="6" width="23.33203125" customWidth="1"/>
  </cols>
  <sheetData>
    <row r="3" spans="1:17" x14ac:dyDescent="0.3">
      <c r="A3" s="2" t="s">
        <v>35</v>
      </c>
      <c r="B3" s="2" t="s">
        <v>12</v>
      </c>
      <c r="D3" t="s">
        <v>36</v>
      </c>
      <c r="F3" s="22">
        <f>CORREL(A4:A39,B4:B39)</f>
        <v>0.97047894309959892</v>
      </c>
    </row>
    <row r="4" spans="1:17" x14ac:dyDescent="0.3">
      <c r="A4" s="2">
        <v>1</v>
      </c>
      <c r="B4" s="1">
        <v>1200</v>
      </c>
    </row>
    <row r="5" spans="1:17" x14ac:dyDescent="0.3">
      <c r="A5" s="2">
        <v>2</v>
      </c>
      <c r="B5" s="1">
        <v>1284</v>
      </c>
      <c r="D5" s="23" t="s">
        <v>41</v>
      </c>
      <c r="G5" s="73" t="s">
        <v>39</v>
      </c>
      <c r="H5" s="73"/>
      <c r="I5" s="73"/>
      <c r="J5" s="73"/>
      <c r="K5" s="73"/>
      <c r="M5" s="73" t="s">
        <v>40</v>
      </c>
      <c r="N5" s="73"/>
      <c r="O5" s="73"/>
      <c r="P5" s="73"/>
      <c r="Q5" s="73"/>
    </row>
    <row r="6" spans="1:17" x14ac:dyDescent="0.3">
      <c r="A6" s="2">
        <v>3</v>
      </c>
      <c r="B6" s="1">
        <v>1336</v>
      </c>
    </row>
    <row r="7" spans="1:17" x14ac:dyDescent="0.3">
      <c r="A7" s="2">
        <v>4</v>
      </c>
      <c r="B7" s="1">
        <v>1389</v>
      </c>
      <c r="D7" s="25">
        <f>LINEST(B4:B39)</f>
        <v>170.86048906048907</v>
      </c>
      <c r="E7" s="25" t="s">
        <v>37</v>
      </c>
    </row>
    <row r="8" spans="1:17" x14ac:dyDescent="0.3">
      <c r="A8" s="2">
        <v>5</v>
      </c>
      <c r="B8" s="1">
        <v>1486</v>
      </c>
      <c r="D8" s="25">
        <v>303.47000000000003</v>
      </c>
      <c r="E8" s="25" t="s">
        <v>38</v>
      </c>
    </row>
    <row r="9" spans="1:17" x14ac:dyDescent="0.3">
      <c r="A9" s="2">
        <v>6</v>
      </c>
      <c r="B9" s="1">
        <v>1591</v>
      </c>
    </row>
    <row r="10" spans="1:17" x14ac:dyDescent="0.3">
      <c r="A10" s="2">
        <v>7</v>
      </c>
      <c r="B10" s="1">
        <v>1638</v>
      </c>
      <c r="D10" s="5" t="s">
        <v>13</v>
      </c>
      <c r="E10" s="5" t="s">
        <v>42</v>
      </c>
    </row>
    <row r="11" spans="1:17" x14ac:dyDescent="0.3">
      <c r="A11" s="2">
        <v>8</v>
      </c>
      <c r="B11" s="1">
        <v>1736</v>
      </c>
      <c r="D11" s="25">
        <v>37</v>
      </c>
      <c r="E11" s="25">
        <f>ROUND(D11*$D$7+$D$8,0)</f>
        <v>6625</v>
      </c>
    </row>
    <row r="12" spans="1:17" x14ac:dyDescent="0.3">
      <c r="A12" s="2">
        <v>9</v>
      </c>
      <c r="B12" s="1">
        <v>1823</v>
      </c>
      <c r="D12" s="25">
        <v>38</v>
      </c>
      <c r="E12" s="25">
        <f t="shared" ref="E12:E22" si="0">ROUND(D12*$D$7+$D$8,0)</f>
        <v>6796</v>
      </c>
    </row>
    <row r="13" spans="1:17" x14ac:dyDescent="0.3">
      <c r="A13" s="2">
        <v>10</v>
      </c>
      <c r="B13" s="1">
        <v>1896</v>
      </c>
      <c r="D13" s="25">
        <v>39</v>
      </c>
      <c r="E13" s="25">
        <f t="shared" si="0"/>
        <v>6967</v>
      </c>
    </row>
    <row r="14" spans="1:17" x14ac:dyDescent="0.3">
      <c r="A14" s="2">
        <v>11</v>
      </c>
      <c r="B14" s="1">
        <v>2010</v>
      </c>
      <c r="D14" s="25">
        <v>40</v>
      </c>
      <c r="E14" s="25">
        <f t="shared" si="0"/>
        <v>7138</v>
      </c>
    </row>
    <row r="15" spans="1:17" x14ac:dyDescent="0.3">
      <c r="A15" s="2">
        <v>12</v>
      </c>
      <c r="B15" s="1">
        <v>2151</v>
      </c>
      <c r="D15" s="25">
        <v>41</v>
      </c>
      <c r="E15" s="25">
        <f t="shared" si="0"/>
        <v>7309</v>
      </c>
    </row>
    <row r="16" spans="1:17" x14ac:dyDescent="0.3">
      <c r="A16" s="2">
        <v>13</v>
      </c>
      <c r="B16" s="1">
        <v>2301</v>
      </c>
      <c r="D16" s="25">
        <v>42</v>
      </c>
      <c r="E16" s="25">
        <f t="shared" si="0"/>
        <v>7480</v>
      </c>
    </row>
    <row r="17" spans="1:14" x14ac:dyDescent="0.3">
      <c r="A17" s="2">
        <v>14</v>
      </c>
      <c r="B17" s="1">
        <v>2370</v>
      </c>
      <c r="D17" s="25">
        <v>43</v>
      </c>
      <c r="E17" s="25">
        <f t="shared" si="0"/>
        <v>7650</v>
      </c>
    </row>
    <row r="18" spans="1:14" x14ac:dyDescent="0.3">
      <c r="A18" s="2">
        <v>15</v>
      </c>
      <c r="B18" s="1">
        <v>2536</v>
      </c>
      <c r="D18" s="25">
        <v>44</v>
      </c>
      <c r="E18" s="25">
        <f t="shared" si="0"/>
        <v>7821</v>
      </c>
      <c r="H18" s="26"/>
      <c r="I18" s="26"/>
      <c r="J18" s="26"/>
      <c r="K18" s="26"/>
    </row>
    <row r="19" spans="1:14" x14ac:dyDescent="0.3">
      <c r="A19" s="2">
        <v>16</v>
      </c>
      <c r="B19" s="1">
        <v>2713</v>
      </c>
      <c r="D19" s="25">
        <v>45</v>
      </c>
      <c r="E19" s="25">
        <f t="shared" si="0"/>
        <v>7992</v>
      </c>
      <c r="H19" s="26"/>
      <c r="I19" s="27"/>
      <c r="J19" s="27"/>
      <c r="K19" s="26"/>
    </row>
    <row r="20" spans="1:14" x14ac:dyDescent="0.3">
      <c r="A20" s="2">
        <v>17</v>
      </c>
      <c r="B20" s="1">
        <v>2822</v>
      </c>
      <c r="D20" s="25">
        <v>46</v>
      </c>
      <c r="E20" s="25">
        <f t="shared" si="0"/>
        <v>8163</v>
      </c>
      <c r="H20" s="26"/>
      <c r="I20" s="10"/>
      <c r="J20" s="10"/>
      <c r="K20" s="26"/>
    </row>
    <row r="21" spans="1:14" x14ac:dyDescent="0.3">
      <c r="A21" s="2">
        <v>18</v>
      </c>
      <c r="B21" s="1">
        <v>2963</v>
      </c>
      <c r="D21" s="25">
        <v>47</v>
      </c>
      <c r="E21" s="25">
        <f t="shared" si="0"/>
        <v>8334</v>
      </c>
      <c r="H21" s="26"/>
      <c r="I21" s="10"/>
      <c r="J21" s="10"/>
      <c r="K21" s="26"/>
    </row>
    <row r="22" spans="1:14" x14ac:dyDescent="0.3">
      <c r="A22" s="2">
        <v>19</v>
      </c>
      <c r="B22" s="1">
        <v>3141</v>
      </c>
      <c r="D22" s="25">
        <v>48</v>
      </c>
      <c r="E22" s="25">
        <f t="shared" si="0"/>
        <v>8505</v>
      </c>
      <c r="I22" s="10"/>
      <c r="J22" s="10"/>
    </row>
    <row r="23" spans="1:14" x14ac:dyDescent="0.3">
      <c r="A23" s="2">
        <v>20</v>
      </c>
      <c r="B23" s="1">
        <v>3329</v>
      </c>
      <c r="I23" s="10"/>
      <c r="J23" s="10"/>
    </row>
    <row r="24" spans="1:14" x14ac:dyDescent="0.3">
      <c r="A24" s="2">
        <v>21</v>
      </c>
      <c r="B24" s="1">
        <v>3462</v>
      </c>
      <c r="I24" s="10"/>
      <c r="J24" s="10"/>
      <c r="M24" s="28"/>
      <c r="N24" s="28"/>
    </row>
    <row r="25" spans="1:14" x14ac:dyDescent="0.3">
      <c r="A25" s="2">
        <v>22</v>
      </c>
      <c r="B25" s="1">
        <v>3566</v>
      </c>
      <c r="G25" s="5" t="s">
        <v>13</v>
      </c>
      <c r="H25" s="5" t="s">
        <v>42</v>
      </c>
      <c r="I25" s="10"/>
      <c r="J25" s="10"/>
      <c r="M25" s="5" t="s">
        <v>13</v>
      </c>
      <c r="N25" s="5" t="s">
        <v>42</v>
      </c>
    </row>
    <row r="26" spans="1:14" x14ac:dyDescent="0.3">
      <c r="A26" s="2">
        <v>23</v>
      </c>
      <c r="B26" s="1">
        <v>3709</v>
      </c>
      <c r="G26" s="25">
        <v>37</v>
      </c>
      <c r="H26" s="25">
        <f>ROUND(G26*170.86+303.47,0)</f>
        <v>6625</v>
      </c>
      <c r="I26" s="10"/>
      <c r="J26" s="10"/>
      <c r="M26" s="25">
        <v>37</v>
      </c>
      <c r="N26" s="25">
        <f>ROUND(1146.3*EXP(0.0521*M26),0)</f>
        <v>7879</v>
      </c>
    </row>
    <row r="27" spans="1:14" x14ac:dyDescent="0.3">
      <c r="A27" s="2">
        <v>24</v>
      </c>
      <c r="B27" s="1">
        <v>3820</v>
      </c>
      <c r="G27" s="25">
        <v>38</v>
      </c>
      <c r="H27" s="25">
        <f t="shared" ref="H27:H37" si="1">ROUND(G27*170.86+303.47,0)</f>
        <v>6796</v>
      </c>
      <c r="I27" s="10"/>
      <c r="J27" s="10"/>
      <c r="M27" s="25">
        <v>38</v>
      </c>
      <c r="N27" s="25">
        <f t="shared" ref="N27:N37" si="2">ROUND(1146.3*EXP(0.0521*M27),0)</f>
        <v>8301</v>
      </c>
    </row>
    <row r="28" spans="1:14" x14ac:dyDescent="0.3">
      <c r="A28" s="2">
        <v>25</v>
      </c>
      <c r="B28" s="1">
        <v>4087</v>
      </c>
      <c r="G28" s="25">
        <v>39</v>
      </c>
      <c r="H28" s="25">
        <f t="shared" si="1"/>
        <v>6967</v>
      </c>
      <c r="I28" s="10"/>
      <c r="J28" s="10"/>
      <c r="M28" s="25">
        <v>39</v>
      </c>
      <c r="N28" s="25">
        <f t="shared" si="2"/>
        <v>8745</v>
      </c>
    </row>
    <row r="29" spans="1:14" x14ac:dyDescent="0.3">
      <c r="A29" s="2">
        <v>26</v>
      </c>
      <c r="B29" s="1">
        <v>4374</v>
      </c>
      <c r="G29" s="25">
        <v>40</v>
      </c>
      <c r="H29" s="25">
        <f t="shared" si="1"/>
        <v>7138</v>
      </c>
      <c r="I29" s="10"/>
      <c r="J29" s="10"/>
      <c r="M29" s="25">
        <v>40</v>
      </c>
      <c r="N29" s="25">
        <f t="shared" si="2"/>
        <v>9212</v>
      </c>
    </row>
    <row r="30" spans="1:14" x14ac:dyDescent="0.3">
      <c r="A30" s="2">
        <v>27</v>
      </c>
      <c r="B30" s="1">
        <v>4636</v>
      </c>
      <c r="G30" s="25">
        <v>41</v>
      </c>
      <c r="H30" s="25">
        <f t="shared" si="1"/>
        <v>7309</v>
      </c>
      <c r="I30" s="10"/>
      <c r="J30" s="10"/>
      <c r="M30" s="25">
        <v>41</v>
      </c>
      <c r="N30" s="25">
        <f t="shared" si="2"/>
        <v>9705</v>
      </c>
    </row>
    <row r="31" spans="1:14" x14ac:dyDescent="0.3">
      <c r="A31" s="2">
        <v>28</v>
      </c>
      <c r="B31" s="1">
        <v>4960</v>
      </c>
      <c r="G31" s="25">
        <v>42</v>
      </c>
      <c r="H31" s="25">
        <f t="shared" si="1"/>
        <v>7480</v>
      </c>
      <c r="I31" s="10"/>
      <c r="J31" s="10"/>
      <c r="M31" s="25">
        <v>42</v>
      </c>
      <c r="N31" s="25">
        <f t="shared" si="2"/>
        <v>10224</v>
      </c>
    </row>
    <row r="32" spans="1:14" x14ac:dyDescent="0.3">
      <c r="A32" s="2">
        <v>29</v>
      </c>
      <c r="B32" s="1">
        <v>5258</v>
      </c>
      <c r="G32" s="25">
        <v>43</v>
      </c>
      <c r="H32" s="25">
        <f t="shared" si="1"/>
        <v>7650</v>
      </c>
      <c r="M32" s="25">
        <v>43</v>
      </c>
      <c r="N32" s="25">
        <f t="shared" si="2"/>
        <v>10771</v>
      </c>
    </row>
    <row r="33" spans="1:14" x14ac:dyDescent="0.3">
      <c r="A33" s="2">
        <v>30</v>
      </c>
      <c r="B33" s="1">
        <v>5416</v>
      </c>
      <c r="G33" s="25">
        <v>44</v>
      </c>
      <c r="H33" s="25">
        <f t="shared" si="1"/>
        <v>7821</v>
      </c>
      <c r="M33" s="25">
        <v>44</v>
      </c>
      <c r="N33" s="25">
        <f t="shared" si="2"/>
        <v>11347</v>
      </c>
    </row>
    <row r="34" spans="1:14" x14ac:dyDescent="0.3">
      <c r="A34" s="2">
        <v>31</v>
      </c>
      <c r="B34" s="1">
        <v>5741</v>
      </c>
      <c r="G34" s="25">
        <v>45</v>
      </c>
      <c r="H34" s="25">
        <f t="shared" si="1"/>
        <v>7992</v>
      </c>
      <c r="M34" s="25">
        <v>45</v>
      </c>
      <c r="N34" s="25">
        <f t="shared" si="2"/>
        <v>11954</v>
      </c>
    </row>
    <row r="35" spans="1:14" x14ac:dyDescent="0.3">
      <c r="A35" s="2">
        <v>32</v>
      </c>
      <c r="B35" s="1">
        <v>6028</v>
      </c>
      <c r="G35" s="25">
        <v>46</v>
      </c>
      <c r="H35" s="25">
        <f t="shared" si="1"/>
        <v>8163</v>
      </c>
      <c r="M35" s="25">
        <v>46</v>
      </c>
      <c r="N35" s="25">
        <f t="shared" si="2"/>
        <v>12593</v>
      </c>
    </row>
    <row r="36" spans="1:14" x14ac:dyDescent="0.3">
      <c r="A36" s="2">
        <v>33</v>
      </c>
      <c r="B36" s="1">
        <v>6389</v>
      </c>
      <c r="G36" s="25">
        <v>47</v>
      </c>
      <c r="H36" s="25">
        <f t="shared" si="1"/>
        <v>8334</v>
      </c>
      <c r="M36" s="25">
        <v>47</v>
      </c>
      <c r="N36" s="25">
        <f t="shared" si="2"/>
        <v>13266</v>
      </c>
    </row>
    <row r="37" spans="1:14" x14ac:dyDescent="0.3">
      <c r="A37" s="2">
        <v>34</v>
      </c>
      <c r="B37" s="1">
        <v>6773</v>
      </c>
      <c r="G37" s="25">
        <v>48</v>
      </c>
      <c r="H37" s="25">
        <f t="shared" si="1"/>
        <v>8505</v>
      </c>
      <c r="M37" s="25">
        <v>48</v>
      </c>
      <c r="N37" s="25">
        <f t="shared" si="2"/>
        <v>13976</v>
      </c>
    </row>
    <row r="38" spans="1:14" x14ac:dyDescent="0.3">
      <c r="A38" s="2">
        <v>35</v>
      </c>
      <c r="B38" s="1">
        <v>7247</v>
      </c>
    </row>
    <row r="39" spans="1:14" x14ac:dyDescent="0.3">
      <c r="A39" s="2">
        <v>36</v>
      </c>
      <c r="B39" s="1">
        <v>7537</v>
      </c>
    </row>
  </sheetData>
  <mergeCells count="2">
    <mergeCell ref="G5:K5"/>
    <mergeCell ref="M5:Q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DDB67-3A5D-4293-81A4-A03E2FC7CB0F}">
  <dimension ref="A2:K39"/>
  <sheetViews>
    <sheetView topLeftCell="A7" workbookViewId="0">
      <selection activeCell="K20" sqref="K20"/>
    </sheetView>
  </sheetViews>
  <sheetFormatPr baseColWidth="10" defaultRowHeight="14.4" x14ac:dyDescent="0.3"/>
  <cols>
    <col min="3" max="3" width="15" customWidth="1"/>
  </cols>
  <sheetData>
    <row r="2" spans="1:7" x14ac:dyDescent="0.3">
      <c r="E2" t="s">
        <v>44</v>
      </c>
      <c r="G2" s="22">
        <f>CORREL(A4:A39,B4:B39)</f>
        <v>9.2728215339015471E-2</v>
      </c>
    </row>
    <row r="3" spans="1:7" x14ac:dyDescent="0.3">
      <c r="A3" s="2" t="s">
        <v>43</v>
      </c>
      <c r="B3" s="2" t="s">
        <v>12</v>
      </c>
      <c r="C3" t="s">
        <v>45</v>
      </c>
    </row>
    <row r="4" spans="1:7" x14ac:dyDescent="0.3">
      <c r="A4" s="2">
        <v>1</v>
      </c>
      <c r="B4" s="1">
        <v>1400</v>
      </c>
      <c r="C4">
        <f>B4/SUM($B$4:$B$15)</f>
        <v>0.12727272727272726</v>
      </c>
    </row>
    <row r="5" spans="1:7" x14ac:dyDescent="0.3">
      <c r="A5" s="2">
        <v>2</v>
      </c>
      <c r="B5" s="1">
        <v>2200</v>
      </c>
      <c r="C5">
        <f t="shared" ref="C5:C15" si="0">B5/SUM($B$4:$B$15)</f>
        <v>0.2</v>
      </c>
    </row>
    <row r="6" spans="1:7" x14ac:dyDescent="0.3">
      <c r="A6" s="2">
        <v>3</v>
      </c>
      <c r="B6" s="1">
        <v>1300</v>
      </c>
      <c r="C6">
        <f t="shared" si="0"/>
        <v>0.11818181818181818</v>
      </c>
    </row>
    <row r="7" spans="1:7" x14ac:dyDescent="0.3">
      <c r="A7" s="2">
        <v>4</v>
      </c>
      <c r="B7" s="1">
        <v>900</v>
      </c>
      <c r="C7">
        <f t="shared" si="0"/>
        <v>8.1818181818181818E-2</v>
      </c>
    </row>
    <row r="8" spans="1:7" x14ac:dyDescent="0.3">
      <c r="A8" s="2">
        <v>5</v>
      </c>
      <c r="B8" s="1">
        <v>600</v>
      </c>
      <c r="C8">
        <f t="shared" si="0"/>
        <v>5.4545454545454543E-2</v>
      </c>
    </row>
    <row r="9" spans="1:7" x14ac:dyDescent="0.3">
      <c r="A9" s="2">
        <v>6</v>
      </c>
      <c r="B9" s="1">
        <v>400</v>
      </c>
      <c r="C9">
        <f t="shared" si="0"/>
        <v>3.6363636363636362E-2</v>
      </c>
    </row>
    <row r="10" spans="1:7" x14ac:dyDescent="0.3">
      <c r="A10" s="2">
        <v>7</v>
      </c>
      <c r="B10" s="1">
        <v>250</v>
      </c>
      <c r="C10">
        <f t="shared" si="0"/>
        <v>2.2727272727272728E-2</v>
      </c>
    </row>
    <row r="11" spans="1:7" x14ac:dyDescent="0.3">
      <c r="A11" s="2">
        <v>8</v>
      </c>
      <c r="B11" s="1">
        <v>150</v>
      </c>
      <c r="C11">
        <f t="shared" si="0"/>
        <v>1.3636363636363636E-2</v>
      </c>
    </row>
    <row r="12" spans="1:7" x14ac:dyDescent="0.3">
      <c r="A12" s="2">
        <v>9</v>
      </c>
      <c r="B12" s="1">
        <v>400</v>
      </c>
      <c r="C12">
        <f t="shared" si="0"/>
        <v>3.6363636363636362E-2</v>
      </c>
    </row>
    <row r="13" spans="1:7" x14ac:dyDescent="0.3">
      <c r="A13" s="2">
        <v>10</v>
      </c>
      <c r="B13" s="1">
        <v>650</v>
      </c>
      <c r="C13">
        <f t="shared" si="0"/>
        <v>5.909090909090909E-2</v>
      </c>
    </row>
    <row r="14" spans="1:7" x14ac:dyDescent="0.3">
      <c r="A14" s="2">
        <v>11</v>
      </c>
      <c r="B14" s="1">
        <v>1050</v>
      </c>
      <c r="C14">
        <f t="shared" si="0"/>
        <v>9.5454545454545459E-2</v>
      </c>
    </row>
    <row r="15" spans="1:7" x14ac:dyDescent="0.3">
      <c r="A15" s="2">
        <v>12</v>
      </c>
      <c r="B15" s="1">
        <v>1700</v>
      </c>
      <c r="C15">
        <f t="shared" si="0"/>
        <v>0.15454545454545454</v>
      </c>
    </row>
    <row r="16" spans="1:7" x14ac:dyDescent="0.3">
      <c r="A16" s="2">
        <v>13</v>
      </c>
      <c r="B16" s="1">
        <v>1680</v>
      </c>
      <c r="C16">
        <f>B16/SUM($B$16:$B$27)</f>
        <v>0.12912151256629006</v>
      </c>
    </row>
    <row r="17" spans="1:11" x14ac:dyDescent="0.3">
      <c r="A17" s="2">
        <v>14</v>
      </c>
      <c r="B17" s="1">
        <v>2530</v>
      </c>
      <c r="C17">
        <f t="shared" ref="C17:C27" si="1">B17/SUM($B$16:$B$27)</f>
        <v>0.19445084928137729</v>
      </c>
    </row>
    <row r="18" spans="1:11" x14ac:dyDescent="0.3">
      <c r="A18" s="2">
        <v>15</v>
      </c>
      <c r="B18" s="1">
        <v>1479</v>
      </c>
      <c r="C18">
        <f t="shared" si="1"/>
        <v>0.11367304588425178</v>
      </c>
    </row>
    <row r="19" spans="1:11" x14ac:dyDescent="0.3">
      <c r="A19" s="2">
        <v>16</v>
      </c>
      <c r="B19" s="1">
        <v>1114</v>
      </c>
      <c r="C19">
        <f t="shared" si="1"/>
        <v>8.5619860118361382E-2</v>
      </c>
    </row>
    <row r="20" spans="1:11" x14ac:dyDescent="0.3">
      <c r="A20" s="2">
        <v>17</v>
      </c>
      <c r="B20" s="1">
        <v>675</v>
      </c>
      <c r="C20">
        <f t="shared" si="1"/>
        <v>5.1879179156098687E-2</v>
      </c>
      <c r="I20" t="s">
        <v>48</v>
      </c>
      <c r="K20">
        <f>ROUND(SUM(B28:B39)*1.08,0)</f>
        <v>16670</v>
      </c>
    </row>
    <row r="21" spans="1:11" x14ac:dyDescent="0.3">
      <c r="A21" s="2">
        <v>18</v>
      </c>
      <c r="B21" s="1">
        <v>460</v>
      </c>
      <c r="C21">
        <f t="shared" si="1"/>
        <v>3.5354699869341324E-2</v>
      </c>
      <c r="E21" s="75" t="s">
        <v>46</v>
      </c>
      <c r="F21" s="75"/>
      <c r="G21" s="75"/>
      <c r="I21" s="75" t="s">
        <v>47</v>
      </c>
      <c r="J21" s="75"/>
      <c r="K21" s="75"/>
    </row>
    <row r="22" spans="1:11" x14ac:dyDescent="0.3">
      <c r="A22" s="2">
        <v>19</v>
      </c>
      <c r="B22" s="1">
        <v>303</v>
      </c>
      <c r="C22">
        <f t="shared" si="1"/>
        <v>2.3287987087848742E-2</v>
      </c>
      <c r="E22" s="74" t="s">
        <v>0</v>
      </c>
      <c r="F22" s="74"/>
      <c r="G22" s="25">
        <f>AVERAGE(C4,C16,C28)</f>
        <v>0.12854864683976316</v>
      </c>
      <c r="I22" s="74" t="s">
        <v>0</v>
      </c>
      <c r="J22" s="74"/>
      <c r="K22" s="25">
        <f>ROUND($K$20*G22,0)</f>
        <v>2143</v>
      </c>
    </row>
    <row r="23" spans="1:11" x14ac:dyDescent="0.3">
      <c r="A23" s="2">
        <v>20</v>
      </c>
      <c r="B23" s="1">
        <v>184</v>
      </c>
      <c r="C23">
        <f t="shared" si="1"/>
        <v>1.4141879947736531E-2</v>
      </c>
      <c r="E23" s="74" t="s">
        <v>1</v>
      </c>
      <c r="F23" s="74"/>
      <c r="G23" s="25">
        <f t="shared" ref="G23:G33" si="2">AVERAGE(C5,C17,C29)</f>
        <v>0.19773996023449</v>
      </c>
      <c r="I23" s="74" t="s">
        <v>1</v>
      </c>
      <c r="J23" s="74"/>
      <c r="K23" s="25">
        <f t="shared" ref="K23:K33" si="3">ROUND($K$20*G23,0)</f>
        <v>3296</v>
      </c>
    </row>
    <row r="24" spans="1:11" x14ac:dyDescent="0.3">
      <c r="A24" s="2">
        <v>21</v>
      </c>
      <c r="B24" s="1">
        <v>460</v>
      </c>
      <c r="C24">
        <f t="shared" si="1"/>
        <v>3.5354699869341324E-2</v>
      </c>
      <c r="E24" s="74" t="s">
        <v>2</v>
      </c>
      <c r="F24" s="74"/>
      <c r="G24" s="25">
        <f t="shared" si="2"/>
        <v>0.11680552482150502</v>
      </c>
      <c r="I24" s="74" t="s">
        <v>2</v>
      </c>
      <c r="J24" s="74"/>
      <c r="K24" s="25">
        <f t="shared" si="3"/>
        <v>1947</v>
      </c>
    </row>
    <row r="25" spans="1:11" x14ac:dyDescent="0.3">
      <c r="A25" s="2">
        <v>22</v>
      </c>
      <c r="B25" s="1">
        <v>780</v>
      </c>
      <c r="C25">
        <f t="shared" si="1"/>
        <v>5.9949273691491813E-2</v>
      </c>
      <c r="E25" s="74" t="s">
        <v>3</v>
      </c>
      <c r="F25" s="74"/>
      <c r="G25" s="25">
        <f t="shared" si="2"/>
        <v>8.438410921694299E-2</v>
      </c>
      <c r="I25" s="74" t="s">
        <v>3</v>
      </c>
      <c r="J25" s="74"/>
      <c r="K25" s="25">
        <f t="shared" si="3"/>
        <v>1407</v>
      </c>
    </row>
    <row r="26" spans="1:11" x14ac:dyDescent="0.3">
      <c r="A26" s="2">
        <v>23</v>
      </c>
      <c r="B26" s="1">
        <v>1221</v>
      </c>
      <c r="C26">
        <f t="shared" si="1"/>
        <v>9.3843670740142951E-2</v>
      </c>
      <c r="E26" s="74" t="s">
        <v>4</v>
      </c>
      <c r="F26" s="74"/>
      <c r="G26" s="25">
        <f t="shared" si="2"/>
        <v>5.2233327312028378E-2</v>
      </c>
      <c r="I26" s="74" t="s">
        <v>4</v>
      </c>
      <c r="J26" s="74"/>
      <c r="K26" s="25">
        <f t="shared" si="3"/>
        <v>871</v>
      </c>
    </row>
    <row r="27" spans="1:11" x14ac:dyDescent="0.3">
      <c r="A27" s="2">
        <v>24</v>
      </c>
      <c r="B27" s="1">
        <v>2125</v>
      </c>
      <c r="C27">
        <f t="shared" si="1"/>
        <v>0.1633233417877181</v>
      </c>
      <c r="E27" s="74" t="s">
        <v>5</v>
      </c>
      <c r="F27" s="74"/>
      <c r="G27" s="25">
        <f t="shared" si="2"/>
        <v>3.6323777556549197E-2</v>
      </c>
      <c r="I27" s="74" t="s">
        <v>5</v>
      </c>
      <c r="J27" s="74"/>
      <c r="K27" s="25">
        <f t="shared" si="3"/>
        <v>606</v>
      </c>
    </row>
    <row r="28" spans="1:11" x14ac:dyDescent="0.3">
      <c r="A28" s="2">
        <v>25</v>
      </c>
      <c r="B28" s="1">
        <v>1995</v>
      </c>
      <c r="C28">
        <f>B28/SUM($B$28:$B$39)</f>
        <v>0.12925170068027211</v>
      </c>
      <c r="E28" s="74" t="s">
        <v>6</v>
      </c>
      <c r="F28" s="74"/>
      <c r="G28" s="25">
        <f t="shared" si="2"/>
        <v>2.2853807045597668E-2</v>
      </c>
      <c r="I28" s="74" t="s">
        <v>6</v>
      </c>
      <c r="J28" s="74"/>
      <c r="K28" s="25">
        <f t="shared" si="3"/>
        <v>381</v>
      </c>
    </row>
    <row r="29" spans="1:11" x14ac:dyDescent="0.3">
      <c r="A29" s="2">
        <v>26</v>
      </c>
      <c r="B29" s="1">
        <v>3068</v>
      </c>
      <c r="C29">
        <f t="shared" ref="C29:C39" si="4">B29/SUM($B$28:$B$39)</f>
        <v>0.19876903142209265</v>
      </c>
      <c r="E29" s="74" t="s">
        <v>7</v>
      </c>
      <c r="F29" s="74"/>
      <c r="G29" s="25">
        <f t="shared" si="2"/>
        <v>1.3880945680176787E-2</v>
      </c>
      <c r="I29" s="74" t="s">
        <v>7</v>
      </c>
      <c r="J29" s="74"/>
      <c r="K29" s="25">
        <f t="shared" si="3"/>
        <v>231</v>
      </c>
    </row>
    <row r="30" spans="1:11" x14ac:dyDescent="0.3">
      <c r="A30" s="2">
        <v>27</v>
      </c>
      <c r="B30" s="1">
        <v>1830</v>
      </c>
      <c r="C30">
        <f t="shared" si="4"/>
        <v>0.1185617103984451</v>
      </c>
      <c r="E30" s="74" t="s">
        <v>8</v>
      </c>
      <c r="F30" s="74"/>
      <c r="G30" s="25">
        <f t="shared" si="2"/>
        <v>3.5092808978641844E-2</v>
      </c>
      <c r="I30" s="74" t="s">
        <v>8</v>
      </c>
      <c r="J30" s="74"/>
      <c r="K30" s="25">
        <f t="shared" si="3"/>
        <v>585</v>
      </c>
    </row>
    <row r="31" spans="1:11" x14ac:dyDescent="0.3">
      <c r="A31" s="2">
        <v>28</v>
      </c>
      <c r="B31" s="1">
        <v>1323</v>
      </c>
      <c r="C31">
        <f t="shared" si="4"/>
        <v>8.5714285714285715E-2</v>
      </c>
      <c r="E31" s="74" t="s">
        <v>9</v>
      </c>
      <c r="F31" s="74"/>
      <c r="G31" s="25">
        <f>AVERAGE(C13,C25,C37)</f>
        <v>5.9893860733103509E-2</v>
      </c>
      <c r="I31" s="74" t="s">
        <v>9</v>
      </c>
      <c r="J31" s="74"/>
      <c r="K31" s="25">
        <f t="shared" si="3"/>
        <v>998</v>
      </c>
    </row>
    <row r="32" spans="1:11" x14ac:dyDescent="0.3">
      <c r="A32" s="2">
        <v>29</v>
      </c>
      <c r="B32" s="1">
        <v>776</v>
      </c>
      <c r="C32">
        <f t="shared" si="4"/>
        <v>5.0275348234531905E-2</v>
      </c>
      <c r="E32" s="74" t="s">
        <v>10</v>
      </c>
      <c r="F32" s="74"/>
      <c r="G32" s="25">
        <f t="shared" si="2"/>
        <v>9.4089579245546173E-2</v>
      </c>
      <c r="I32" s="74" t="s">
        <v>10</v>
      </c>
      <c r="J32" s="74"/>
      <c r="K32" s="25">
        <f t="shared" si="3"/>
        <v>1568</v>
      </c>
    </row>
    <row r="33" spans="1:11" x14ac:dyDescent="0.3">
      <c r="A33" s="2">
        <v>30</v>
      </c>
      <c r="B33" s="1">
        <v>575</v>
      </c>
      <c r="C33">
        <f t="shared" si="4"/>
        <v>3.7252996436669905E-2</v>
      </c>
      <c r="E33" s="74" t="s">
        <v>11</v>
      </c>
      <c r="F33" s="74"/>
      <c r="G33" s="25">
        <f t="shared" si="2"/>
        <v>0.15815365233565534</v>
      </c>
      <c r="I33" s="74" t="s">
        <v>11</v>
      </c>
      <c r="J33" s="74"/>
      <c r="K33" s="25">
        <f t="shared" si="3"/>
        <v>2636</v>
      </c>
    </row>
    <row r="34" spans="1:11" x14ac:dyDescent="0.3">
      <c r="A34" s="2">
        <v>31</v>
      </c>
      <c r="B34" s="1">
        <v>348</v>
      </c>
      <c r="C34">
        <f t="shared" si="4"/>
        <v>2.2546161321671525E-2</v>
      </c>
      <c r="E34" s="75" t="s">
        <v>24</v>
      </c>
      <c r="F34" s="75"/>
      <c r="G34" s="29">
        <f>SUM(G22:G33)</f>
        <v>1</v>
      </c>
      <c r="I34" s="75" t="s">
        <v>24</v>
      </c>
      <c r="J34" s="75"/>
      <c r="K34" s="29">
        <f>SUM(K22:K33)</f>
        <v>16669</v>
      </c>
    </row>
    <row r="35" spans="1:11" x14ac:dyDescent="0.3">
      <c r="A35" s="2">
        <v>32</v>
      </c>
      <c r="B35" s="1">
        <v>214</v>
      </c>
      <c r="C35">
        <f t="shared" si="4"/>
        <v>1.3864593456430192E-2</v>
      </c>
    </row>
    <row r="36" spans="1:11" x14ac:dyDescent="0.3">
      <c r="A36" s="2">
        <v>33</v>
      </c>
      <c r="B36" s="1">
        <v>518</v>
      </c>
      <c r="C36">
        <f t="shared" si="4"/>
        <v>3.3560090702947847E-2</v>
      </c>
    </row>
    <row r="37" spans="1:11" x14ac:dyDescent="0.3">
      <c r="A37" s="2">
        <v>34</v>
      </c>
      <c r="B37" s="1">
        <v>936</v>
      </c>
      <c r="C37">
        <f t="shared" si="4"/>
        <v>6.0641399416909623E-2</v>
      </c>
    </row>
    <row r="38" spans="1:11" x14ac:dyDescent="0.3">
      <c r="A38" s="2">
        <v>35</v>
      </c>
      <c r="B38" s="1">
        <v>1435</v>
      </c>
      <c r="C38">
        <f t="shared" si="4"/>
        <v>9.297052154195011E-2</v>
      </c>
    </row>
    <row r="39" spans="1:11" x14ac:dyDescent="0.3">
      <c r="A39" s="2">
        <v>36</v>
      </c>
      <c r="B39" s="1">
        <v>2417</v>
      </c>
      <c r="C39">
        <f t="shared" si="4"/>
        <v>0.15659216067379333</v>
      </c>
    </row>
  </sheetData>
  <mergeCells count="28">
    <mergeCell ref="I29:J29"/>
    <mergeCell ref="I30:J30"/>
    <mergeCell ref="I31:J31"/>
    <mergeCell ref="I32:J32"/>
    <mergeCell ref="I33:J33"/>
    <mergeCell ref="I34:J34"/>
    <mergeCell ref="E21:G21"/>
    <mergeCell ref="E34:F34"/>
    <mergeCell ref="I21:K21"/>
    <mergeCell ref="I22:J22"/>
    <mergeCell ref="I23:J23"/>
    <mergeCell ref="I24:J24"/>
    <mergeCell ref="I25:J25"/>
    <mergeCell ref="I26:J26"/>
    <mergeCell ref="I27:J27"/>
    <mergeCell ref="I28:J28"/>
    <mergeCell ref="E28:F28"/>
    <mergeCell ref="E29:F29"/>
    <mergeCell ref="E30:F30"/>
    <mergeCell ref="E31:F31"/>
    <mergeCell ref="E32:F32"/>
    <mergeCell ref="E33:F33"/>
    <mergeCell ref="E22:F22"/>
    <mergeCell ref="E23:F23"/>
    <mergeCell ref="E24:F24"/>
    <mergeCell ref="E25:F25"/>
    <mergeCell ref="E26:F26"/>
    <mergeCell ref="E27:F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EF73-CE35-4C43-A2F2-5B9AF85C6E54}">
  <dimension ref="A1:L84"/>
  <sheetViews>
    <sheetView topLeftCell="A58" workbookViewId="0">
      <selection activeCell="C6" sqref="C6"/>
    </sheetView>
  </sheetViews>
  <sheetFormatPr baseColWidth="10" defaultRowHeight="14.4" x14ac:dyDescent="0.3"/>
  <cols>
    <col min="2" max="2" width="19.109375" customWidth="1"/>
    <col min="7" max="7" width="16.5546875" customWidth="1"/>
  </cols>
  <sheetData>
    <row r="1" spans="1:12" x14ac:dyDescent="0.3">
      <c r="A1" s="76" t="s">
        <v>52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3" spans="1:12" ht="28.8" x14ac:dyDescent="0.3">
      <c r="A3" s="3" t="s">
        <v>13</v>
      </c>
      <c r="B3" s="3" t="s">
        <v>12</v>
      </c>
      <c r="C3" s="5" t="s">
        <v>49</v>
      </c>
      <c r="D3" s="31" t="s">
        <v>45</v>
      </c>
    </row>
    <row r="4" spans="1:12" x14ac:dyDescent="0.3">
      <c r="A4" s="30">
        <v>1</v>
      </c>
      <c r="B4" s="1">
        <v>3750</v>
      </c>
      <c r="C4" s="1"/>
    </row>
    <row r="5" spans="1:12" x14ac:dyDescent="0.3">
      <c r="A5" s="30">
        <v>2</v>
      </c>
      <c r="B5" s="1">
        <v>3000</v>
      </c>
      <c r="C5" s="1"/>
    </row>
    <row r="6" spans="1:12" x14ac:dyDescent="0.3">
      <c r="A6" s="30">
        <v>3</v>
      </c>
      <c r="B6" s="1">
        <v>4250</v>
      </c>
      <c r="C6" s="1">
        <f>AVERAGE(B4:B8)</f>
        <v>3375</v>
      </c>
      <c r="D6" s="1">
        <f>B6/C6</f>
        <v>1.2592592592592593</v>
      </c>
    </row>
    <row r="7" spans="1:12" x14ac:dyDescent="0.3">
      <c r="A7" s="30">
        <v>4</v>
      </c>
      <c r="B7" s="1">
        <v>3500</v>
      </c>
      <c r="C7" s="1">
        <f t="shared" ref="C7:C37" si="0">AVERAGE(B5:B9)</f>
        <v>3125</v>
      </c>
      <c r="D7" s="1">
        <f t="shared" ref="D7:D37" si="1">B7/C7</f>
        <v>1.1200000000000001</v>
      </c>
    </row>
    <row r="8" spans="1:12" x14ac:dyDescent="0.3">
      <c r="A8" s="30">
        <v>5</v>
      </c>
      <c r="B8" s="1">
        <v>2375</v>
      </c>
      <c r="C8" s="1">
        <f t="shared" si="0"/>
        <v>2925</v>
      </c>
      <c r="D8" s="1">
        <f t="shared" si="1"/>
        <v>0.81196581196581197</v>
      </c>
    </row>
    <row r="9" spans="1:12" x14ac:dyDescent="0.3">
      <c r="A9" s="30">
        <v>6</v>
      </c>
      <c r="B9" s="1">
        <v>2500</v>
      </c>
      <c r="C9" s="1">
        <f t="shared" si="0"/>
        <v>2400</v>
      </c>
      <c r="D9" s="1">
        <f t="shared" si="1"/>
        <v>1.0416666666666667</v>
      </c>
    </row>
    <row r="10" spans="1:12" x14ac:dyDescent="0.3">
      <c r="A10" s="30">
        <v>7</v>
      </c>
      <c r="B10" s="1">
        <v>2000</v>
      </c>
      <c r="C10" s="1">
        <f t="shared" si="0"/>
        <v>2350</v>
      </c>
      <c r="D10" s="1">
        <f t="shared" si="1"/>
        <v>0.85106382978723405</v>
      </c>
    </row>
    <row r="11" spans="1:12" x14ac:dyDescent="0.3">
      <c r="A11" s="30">
        <v>8</v>
      </c>
      <c r="B11" s="1">
        <v>1625</v>
      </c>
      <c r="C11" s="1">
        <f t="shared" si="0"/>
        <v>2775</v>
      </c>
      <c r="D11" s="1">
        <f t="shared" si="1"/>
        <v>0.5855855855855856</v>
      </c>
    </row>
    <row r="12" spans="1:12" x14ac:dyDescent="0.3">
      <c r="A12" s="30">
        <v>9</v>
      </c>
      <c r="B12" s="1">
        <v>3250</v>
      </c>
      <c r="C12" s="1">
        <f t="shared" si="0"/>
        <v>3225</v>
      </c>
      <c r="D12" s="1">
        <f t="shared" si="1"/>
        <v>1.0077519379844961</v>
      </c>
    </row>
    <row r="13" spans="1:12" x14ac:dyDescent="0.3">
      <c r="A13" s="30">
        <v>10</v>
      </c>
      <c r="B13" s="1">
        <v>4500</v>
      </c>
      <c r="C13" s="1">
        <f t="shared" si="0"/>
        <v>3875</v>
      </c>
      <c r="D13" s="1">
        <f t="shared" si="1"/>
        <v>1.1612903225806452</v>
      </c>
    </row>
    <row r="14" spans="1:12" x14ac:dyDescent="0.3">
      <c r="A14" s="30">
        <v>11</v>
      </c>
      <c r="B14" s="1">
        <v>4750</v>
      </c>
      <c r="C14" s="1">
        <f t="shared" si="0"/>
        <v>4310</v>
      </c>
      <c r="D14" s="1">
        <f t="shared" si="1"/>
        <v>1.1020881670533642</v>
      </c>
    </row>
    <row r="15" spans="1:12" x14ac:dyDescent="0.3">
      <c r="A15" s="30">
        <v>12</v>
      </c>
      <c r="B15" s="1">
        <v>5250</v>
      </c>
      <c r="C15" s="1">
        <f t="shared" si="0"/>
        <v>4285</v>
      </c>
      <c r="D15" s="1">
        <f t="shared" si="1"/>
        <v>1.2252042007001167</v>
      </c>
    </row>
    <row r="16" spans="1:12" x14ac:dyDescent="0.3">
      <c r="A16" s="30">
        <v>13</v>
      </c>
      <c r="B16" s="1">
        <v>3800</v>
      </c>
      <c r="C16" s="1">
        <f t="shared" si="0"/>
        <v>4210</v>
      </c>
      <c r="D16" s="1">
        <f t="shared" si="1"/>
        <v>0.90261282660332542</v>
      </c>
    </row>
    <row r="17" spans="1:9" x14ac:dyDescent="0.3">
      <c r="A17" s="30">
        <v>14</v>
      </c>
      <c r="B17" s="1">
        <v>3125</v>
      </c>
      <c r="C17" s="1">
        <f t="shared" si="0"/>
        <v>3860</v>
      </c>
      <c r="D17" s="1">
        <f t="shared" si="1"/>
        <v>0.80958549222797926</v>
      </c>
    </row>
    <row r="18" spans="1:9" x14ac:dyDescent="0.3">
      <c r="A18" s="30">
        <v>15</v>
      </c>
      <c r="B18" s="1">
        <v>4125</v>
      </c>
      <c r="C18" s="1">
        <f t="shared" si="0"/>
        <v>3310</v>
      </c>
      <c r="D18" s="1">
        <f t="shared" si="1"/>
        <v>1.2462235649546827</v>
      </c>
    </row>
    <row r="19" spans="1:9" x14ac:dyDescent="0.3">
      <c r="A19" s="30">
        <v>16</v>
      </c>
      <c r="B19" s="1">
        <v>3000</v>
      </c>
      <c r="C19" s="1">
        <f t="shared" si="0"/>
        <v>3025</v>
      </c>
      <c r="D19" s="1">
        <f t="shared" si="1"/>
        <v>0.99173553719008267</v>
      </c>
    </row>
    <row r="20" spans="1:9" x14ac:dyDescent="0.3">
      <c r="A20" s="30">
        <v>17</v>
      </c>
      <c r="B20" s="1">
        <v>2500</v>
      </c>
      <c r="C20" s="1">
        <f t="shared" si="0"/>
        <v>2825</v>
      </c>
      <c r="D20" s="1">
        <f t="shared" si="1"/>
        <v>0.88495575221238942</v>
      </c>
    </row>
    <row r="21" spans="1:9" x14ac:dyDescent="0.3">
      <c r="A21" s="30">
        <v>18</v>
      </c>
      <c r="B21" s="1">
        <v>2375</v>
      </c>
      <c r="C21" s="1">
        <f t="shared" si="0"/>
        <v>2350</v>
      </c>
      <c r="D21" s="1">
        <f t="shared" si="1"/>
        <v>1.0106382978723405</v>
      </c>
    </row>
    <row r="22" spans="1:9" x14ac:dyDescent="0.3">
      <c r="A22" s="30">
        <v>19</v>
      </c>
      <c r="B22" s="1">
        <v>2125</v>
      </c>
      <c r="C22" s="1">
        <f t="shared" si="0"/>
        <v>2475</v>
      </c>
      <c r="D22" s="1">
        <f t="shared" si="1"/>
        <v>0.85858585858585856</v>
      </c>
    </row>
    <row r="23" spans="1:9" x14ac:dyDescent="0.3">
      <c r="A23" s="30">
        <v>20</v>
      </c>
      <c r="B23" s="1">
        <v>1750</v>
      </c>
      <c r="C23" s="1">
        <f t="shared" si="0"/>
        <v>2950</v>
      </c>
      <c r="D23" s="1">
        <f t="shared" si="1"/>
        <v>0.59322033898305082</v>
      </c>
    </row>
    <row r="24" spans="1:9" x14ac:dyDescent="0.3">
      <c r="A24" s="30">
        <v>21</v>
      </c>
      <c r="B24" s="1">
        <v>3625</v>
      </c>
      <c r="C24" s="1">
        <f t="shared" si="0"/>
        <v>3475</v>
      </c>
      <c r="D24" s="1">
        <f t="shared" si="1"/>
        <v>1.0431654676258992</v>
      </c>
    </row>
    <row r="25" spans="1:9" x14ac:dyDescent="0.3">
      <c r="A25" s="30">
        <v>22</v>
      </c>
      <c r="B25" s="1">
        <v>4875</v>
      </c>
      <c r="C25" s="1">
        <f t="shared" si="0"/>
        <v>4075</v>
      </c>
      <c r="D25" s="1">
        <f t="shared" si="1"/>
        <v>1.196319018404908</v>
      </c>
    </row>
    <row r="26" spans="1:9" x14ac:dyDescent="0.3">
      <c r="A26" s="30">
        <v>23</v>
      </c>
      <c r="B26" s="1">
        <v>5000</v>
      </c>
      <c r="C26" s="1">
        <f t="shared" si="0"/>
        <v>4509</v>
      </c>
      <c r="D26" s="1">
        <f t="shared" si="1"/>
        <v>1.1088933244621868</v>
      </c>
    </row>
    <row r="27" spans="1:9" x14ac:dyDescent="0.3">
      <c r="A27" s="30">
        <v>24</v>
      </c>
      <c r="B27" s="1">
        <v>5125</v>
      </c>
      <c r="C27" s="1">
        <f t="shared" si="0"/>
        <v>4429</v>
      </c>
      <c r="D27" s="1">
        <f t="shared" si="1"/>
        <v>1.1571460826371642</v>
      </c>
    </row>
    <row r="28" spans="1:9" x14ac:dyDescent="0.3">
      <c r="A28" s="30">
        <v>25</v>
      </c>
      <c r="B28" s="1">
        <v>3920</v>
      </c>
      <c r="C28" s="1">
        <f t="shared" si="0"/>
        <v>4314</v>
      </c>
      <c r="D28" s="1">
        <f t="shared" si="1"/>
        <v>0.90866944830783491</v>
      </c>
      <c r="F28" s="5" t="s">
        <v>43</v>
      </c>
      <c r="G28" s="1" t="s">
        <v>50</v>
      </c>
      <c r="H28" s="1" t="s">
        <v>51</v>
      </c>
      <c r="I28" s="32" t="s">
        <v>42</v>
      </c>
    </row>
    <row r="29" spans="1:9" x14ac:dyDescent="0.3">
      <c r="A29" s="30">
        <v>26</v>
      </c>
      <c r="B29" s="1">
        <v>3225</v>
      </c>
      <c r="C29" s="1">
        <f t="shared" si="0"/>
        <v>3916</v>
      </c>
      <c r="D29" s="1">
        <f t="shared" si="1"/>
        <v>0.82354443309499492</v>
      </c>
      <c r="F29" s="5">
        <v>37</v>
      </c>
      <c r="G29" s="1">
        <f>F29*11.518+3162.5</f>
        <v>3588.6660000000002</v>
      </c>
      <c r="H29" s="1">
        <f>(D16+D28)/2</f>
        <v>0.90564113745558017</v>
      </c>
      <c r="I29" s="32">
        <f>ROUND(G29*H29,0)</f>
        <v>3250</v>
      </c>
    </row>
    <row r="30" spans="1:9" x14ac:dyDescent="0.3">
      <c r="A30" s="30">
        <v>27</v>
      </c>
      <c r="B30" s="1">
        <v>4300</v>
      </c>
      <c r="C30" s="1">
        <f t="shared" si="0"/>
        <v>3407</v>
      </c>
      <c r="D30" s="1">
        <f t="shared" si="1"/>
        <v>1.2621074258878779</v>
      </c>
      <c r="F30" s="5">
        <v>38</v>
      </c>
      <c r="G30" s="1">
        <f t="shared" ref="G30:G40" si="2">F30*11.518+3162.5</f>
        <v>3600.1840000000002</v>
      </c>
      <c r="H30" s="1">
        <f>(D17+D29)/2</f>
        <v>0.81656496266148704</v>
      </c>
      <c r="I30" s="32">
        <f t="shared" ref="I30:I40" si="3">ROUND(G30*H30,0)</f>
        <v>2940</v>
      </c>
    </row>
    <row r="31" spans="1:9" x14ac:dyDescent="0.3">
      <c r="A31" s="30">
        <v>28</v>
      </c>
      <c r="B31" s="1">
        <v>3010</v>
      </c>
      <c r="C31" s="1">
        <f t="shared" si="0"/>
        <v>3113</v>
      </c>
      <c r="D31" s="1">
        <f t="shared" si="1"/>
        <v>0.9669129457115323</v>
      </c>
      <c r="F31" s="5">
        <v>39</v>
      </c>
      <c r="G31" s="1">
        <f t="shared" si="2"/>
        <v>3611.7020000000002</v>
      </c>
      <c r="H31" s="1">
        <f>(D6+D18+D30)/3</f>
        <v>1.2558634167006069</v>
      </c>
      <c r="I31" s="32">
        <f t="shared" si="3"/>
        <v>4536</v>
      </c>
    </row>
    <row r="32" spans="1:9" x14ac:dyDescent="0.3">
      <c r="A32" s="30">
        <v>29</v>
      </c>
      <c r="B32" s="1">
        <v>2580</v>
      </c>
      <c r="C32" s="1">
        <f t="shared" si="0"/>
        <v>2928</v>
      </c>
      <c r="D32" s="1">
        <f t="shared" si="1"/>
        <v>0.88114754098360659</v>
      </c>
      <c r="F32" s="5">
        <v>40</v>
      </c>
      <c r="G32" s="1">
        <f t="shared" si="2"/>
        <v>3623.2200000000003</v>
      </c>
      <c r="H32" s="1">
        <f t="shared" ref="H32:H38" si="4">(D7+D19+D31)/3</f>
        <v>1.0262161609672051</v>
      </c>
      <c r="I32" s="32">
        <f t="shared" si="3"/>
        <v>3718</v>
      </c>
    </row>
    <row r="33" spans="1:12" x14ac:dyDescent="0.3">
      <c r="A33" s="30">
        <v>30</v>
      </c>
      <c r="B33" s="1">
        <v>2450</v>
      </c>
      <c r="C33" s="1">
        <f t="shared" si="0"/>
        <v>2446</v>
      </c>
      <c r="D33" s="1">
        <f t="shared" si="1"/>
        <v>1.0016353229762878</v>
      </c>
      <c r="F33" s="5">
        <v>41</v>
      </c>
      <c r="G33" s="1">
        <f t="shared" si="2"/>
        <v>3634.7380000000003</v>
      </c>
      <c r="H33" s="1">
        <f t="shared" si="4"/>
        <v>0.85935636838726925</v>
      </c>
      <c r="I33" s="32">
        <f t="shared" si="3"/>
        <v>3124</v>
      </c>
    </row>
    <row r="34" spans="1:12" x14ac:dyDescent="0.3">
      <c r="A34" s="30">
        <v>31</v>
      </c>
      <c r="B34" s="1">
        <v>2300</v>
      </c>
      <c r="C34" s="1">
        <f t="shared" si="0"/>
        <v>2622</v>
      </c>
      <c r="D34" s="1">
        <f t="shared" si="1"/>
        <v>0.8771929824561403</v>
      </c>
      <c r="F34" s="5">
        <v>42</v>
      </c>
      <c r="G34" s="1">
        <f t="shared" si="2"/>
        <v>3646.2559999999999</v>
      </c>
      <c r="H34" s="1">
        <f t="shared" si="4"/>
        <v>1.0179800958384317</v>
      </c>
      <c r="I34" s="32">
        <f t="shared" si="3"/>
        <v>3712</v>
      </c>
    </row>
    <row r="35" spans="1:12" x14ac:dyDescent="0.3">
      <c r="A35" s="30">
        <v>32</v>
      </c>
      <c r="B35" s="1">
        <v>1890</v>
      </c>
      <c r="C35" s="1">
        <f t="shared" si="0"/>
        <v>3116</v>
      </c>
      <c r="D35" s="1">
        <f t="shared" si="1"/>
        <v>0.60654685494223359</v>
      </c>
      <c r="F35" s="5">
        <v>43</v>
      </c>
      <c r="G35" s="1">
        <f t="shared" si="2"/>
        <v>3657.7739999999999</v>
      </c>
      <c r="H35" s="1">
        <f t="shared" si="4"/>
        <v>0.86228089027641097</v>
      </c>
      <c r="I35" s="32">
        <f t="shared" si="3"/>
        <v>3154</v>
      </c>
    </row>
    <row r="36" spans="1:12" x14ac:dyDescent="0.3">
      <c r="A36" s="30">
        <v>33</v>
      </c>
      <c r="B36" s="1">
        <v>3890</v>
      </c>
      <c r="C36" s="1">
        <f t="shared" si="0"/>
        <v>3698</v>
      </c>
      <c r="D36" s="1">
        <f t="shared" si="1"/>
        <v>1.0519199567333695</v>
      </c>
      <c r="F36" s="5">
        <v>44</v>
      </c>
      <c r="G36" s="1">
        <f t="shared" si="2"/>
        <v>3669.2919999999999</v>
      </c>
      <c r="H36" s="1">
        <f t="shared" si="4"/>
        <v>0.59511759317029</v>
      </c>
      <c r="I36" s="32">
        <f t="shared" si="3"/>
        <v>2184</v>
      </c>
    </row>
    <row r="37" spans="1:12" x14ac:dyDescent="0.3">
      <c r="A37" s="30">
        <v>34</v>
      </c>
      <c r="B37" s="1">
        <v>5050</v>
      </c>
      <c r="C37" s="1">
        <f t="shared" si="0"/>
        <v>4322</v>
      </c>
      <c r="D37" s="1">
        <f t="shared" si="1"/>
        <v>1.1684405367885238</v>
      </c>
      <c r="F37" s="5">
        <v>45</v>
      </c>
      <c r="G37" s="1">
        <f t="shared" si="2"/>
        <v>3680.81</v>
      </c>
      <c r="H37" s="1">
        <f t="shared" si="4"/>
        <v>1.0342791207812549</v>
      </c>
      <c r="I37" s="32">
        <f t="shared" si="3"/>
        <v>3807</v>
      </c>
    </row>
    <row r="38" spans="1:12" x14ac:dyDescent="0.3">
      <c r="A38" s="30">
        <v>35</v>
      </c>
      <c r="B38" s="1">
        <v>5360</v>
      </c>
      <c r="C38" s="1"/>
      <c r="F38" s="5">
        <v>46</v>
      </c>
      <c r="G38" s="1">
        <f t="shared" si="2"/>
        <v>3692.328</v>
      </c>
      <c r="H38" s="1">
        <f t="shared" si="4"/>
        <v>1.1753499592580257</v>
      </c>
      <c r="I38" s="32">
        <f t="shared" si="3"/>
        <v>4340</v>
      </c>
    </row>
    <row r="39" spans="1:12" x14ac:dyDescent="0.3">
      <c r="A39" s="30">
        <v>36</v>
      </c>
      <c r="B39" s="1">
        <v>5420</v>
      </c>
      <c r="C39" s="1"/>
      <c r="F39" s="5">
        <v>47</v>
      </c>
      <c r="G39" s="1">
        <f t="shared" si="2"/>
        <v>3703.846</v>
      </c>
      <c r="H39" s="1">
        <f>(D14+D26)/2</f>
        <v>1.1054907457577756</v>
      </c>
      <c r="I39" s="32">
        <f t="shared" si="3"/>
        <v>4095</v>
      </c>
    </row>
    <row r="40" spans="1:12" x14ac:dyDescent="0.3">
      <c r="F40" s="5">
        <v>48</v>
      </c>
      <c r="G40" s="1">
        <f t="shared" si="2"/>
        <v>3715.364</v>
      </c>
      <c r="H40" s="1">
        <f>(D15+D27)/2</f>
        <v>1.1911751416686405</v>
      </c>
      <c r="I40" s="32">
        <f t="shared" si="3"/>
        <v>4426</v>
      </c>
    </row>
    <row r="44" spans="1:12" x14ac:dyDescent="0.3">
      <c r="A44" s="76" t="s">
        <v>53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</row>
    <row r="47" spans="1:12" ht="28.8" x14ac:dyDescent="0.3">
      <c r="A47" s="5" t="s">
        <v>13</v>
      </c>
      <c r="B47" s="5" t="s">
        <v>12</v>
      </c>
      <c r="C47" s="5" t="s">
        <v>49</v>
      </c>
      <c r="D47" s="31" t="s">
        <v>45</v>
      </c>
    </row>
    <row r="48" spans="1:12" x14ac:dyDescent="0.3">
      <c r="A48" s="30">
        <v>1</v>
      </c>
      <c r="B48" s="1">
        <v>3750</v>
      </c>
      <c r="C48" s="1"/>
      <c r="D48" s="1"/>
    </row>
    <row r="49" spans="1:4" x14ac:dyDescent="0.3">
      <c r="A49" s="30">
        <v>2</v>
      </c>
      <c r="B49" s="1">
        <v>3000</v>
      </c>
      <c r="C49" s="1"/>
      <c r="D49" s="1"/>
    </row>
    <row r="50" spans="1:4" x14ac:dyDescent="0.3">
      <c r="A50" s="30">
        <v>3</v>
      </c>
      <c r="B50" s="1">
        <v>4250</v>
      </c>
      <c r="C50" s="1"/>
      <c r="D50" s="1"/>
    </row>
    <row r="51" spans="1:4" x14ac:dyDescent="0.3">
      <c r="A51" s="30">
        <v>4</v>
      </c>
      <c r="B51" s="1">
        <v>3500</v>
      </c>
      <c r="C51" s="1"/>
      <c r="D51" s="1"/>
    </row>
    <row r="52" spans="1:4" x14ac:dyDescent="0.3">
      <c r="A52" s="30">
        <v>5</v>
      </c>
      <c r="B52" s="1">
        <v>2375</v>
      </c>
      <c r="C52" s="1"/>
      <c r="D52" s="1"/>
    </row>
    <row r="53" spans="1:4" x14ac:dyDescent="0.3">
      <c r="A53" s="30">
        <v>6</v>
      </c>
      <c r="B53" s="1">
        <v>2500</v>
      </c>
      <c r="C53" s="1">
        <f>AVERAGE(B48:B58)</f>
        <v>3227.2727272727275</v>
      </c>
      <c r="D53" s="1">
        <f>B53/C53</f>
        <v>0.77464788732394363</v>
      </c>
    </row>
    <row r="54" spans="1:4" x14ac:dyDescent="0.3">
      <c r="A54" s="30">
        <v>7</v>
      </c>
      <c r="B54" s="1">
        <v>2000</v>
      </c>
      <c r="C54" s="1">
        <f t="shared" ref="C54:C77" si="5">AVERAGE(B49:B59)</f>
        <v>3363.6363636363635</v>
      </c>
      <c r="D54" s="1">
        <f t="shared" ref="D54:D78" si="6">B54/C54</f>
        <v>0.59459459459459463</v>
      </c>
    </row>
    <row r="55" spans="1:4" x14ac:dyDescent="0.3">
      <c r="A55" s="30">
        <v>8</v>
      </c>
      <c r="B55" s="1">
        <v>1625</v>
      </c>
      <c r="C55" s="1">
        <f t="shared" si="5"/>
        <v>3436.3636363636365</v>
      </c>
      <c r="D55" s="1">
        <f t="shared" si="6"/>
        <v>0.47288359788359785</v>
      </c>
    </row>
    <row r="56" spans="1:4" x14ac:dyDescent="0.3">
      <c r="A56" s="30">
        <v>9</v>
      </c>
      <c r="B56" s="1">
        <v>3250</v>
      </c>
      <c r="C56" s="1">
        <f t="shared" si="5"/>
        <v>3334.090909090909</v>
      </c>
      <c r="D56" s="1">
        <f t="shared" si="6"/>
        <v>0.97477845944103614</v>
      </c>
    </row>
    <row r="57" spans="1:4" x14ac:dyDescent="0.3">
      <c r="A57" s="30">
        <v>10</v>
      </c>
      <c r="B57" s="1">
        <v>4500</v>
      </c>
      <c r="C57" s="1">
        <f t="shared" si="5"/>
        <v>3390.909090909091</v>
      </c>
      <c r="D57" s="1">
        <f t="shared" si="6"/>
        <v>1.3270777479892761</v>
      </c>
    </row>
    <row r="58" spans="1:4" x14ac:dyDescent="0.3">
      <c r="A58" s="30">
        <v>11</v>
      </c>
      <c r="B58" s="1">
        <v>4750</v>
      </c>
      <c r="C58" s="1">
        <f t="shared" si="5"/>
        <v>3447.7272727272725</v>
      </c>
      <c r="D58" s="1">
        <f t="shared" si="6"/>
        <v>1.3777191825972315</v>
      </c>
    </row>
    <row r="59" spans="1:4" x14ac:dyDescent="0.3">
      <c r="A59" s="30">
        <v>12</v>
      </c>
      <c r="B59" s="1">
        <v>5250</v>
      </c>
      <c r="C59" s="1">
        <f t="shared" si="5"/>
        <v>3447.7272727272725</v>
      </c>
      <c r="D59" s="1">
        <f t="shared" si="6"/>
        <v>1.5227422544495717</v>
      </c>
    </row>
    <row r="60" spans="1:4" x14ac:dyDescent="0.3">
      <c r="A60" s="30">
        <v>13</v>
      </c>
      <c r="B60" s="1">
        <v>3800</v>
      </c>
      <c r="C60" s="1">
        <f t="shared" si="5"/>
        <v>3481.818181818182</v>
      </c>
      <c r="D60" s="1">
        <f t="shared" si="6"/>
        <v>1.0913838120104438</v>
      </c>
    </row>
    <row r="61" spans="1:4" x14ac:dyDescent="0.3">
      <c r="A61" s="30">
        <v>14</v>
      </c>
      <c r="B61" s="1">
        <v>3125</v>
      </c>
      <c r="C61" s="1">
        <f t="shared" si="5"/>
        <v>3527.2727272727275</v>
      </c>
      <c r="D61" s="1">
        <f t="shared" si="6"/>
        <v>0.88595360824742264</v>
      </c>
    </row>
    <row r="62" spans="1:4" x14ac:dyDescent="0.3">
      <c r="A62" s="30">
        <v>15</v>
      </c>
      <c r="B62" s="1">
        <v>4125</v>
      </c>
      <c r="C62" s="1">
        <f t="shared" si="5"/>
        <v>3390.909090909091</v>
      </c>
      <c r="D62" s="1">
        <f t="shared" si="6"/>
        <v>1.2164879356568363</v>
      </c>
    </row>
    <row r="63" spans="1:4" x14ac:dyDescent="0.3">
      <c r="A63" s="30">
        <v>16</v>
      </c>
      <c r="B63" s="1">
        <v>3000</v>
      </c>
      <c r="C63" s="1">
        <f t="shared" si="5"/>
        <v>3311.3636363636365</v>
      </c>
      <c r="D63" s="1">
        <f t="shared" si="6"/>
        <v>0.90597117364447488</v>
      </c>
    </row>
    <row r="64" spans="1:4" x14ac:dyDescent="0.3">
      <c r="A64" s="30">
        <v>17</v>
      </c>
      <c r="B64" s="1">
        <v>2500</v>
      </c>
      <c r="C64" s="1">
        <f t="shared" si="5"/>
        <v>3322.7272727272725</v>
      </c>
      <c r="D64" s="1">
        <f t="shared" si="6"/>
        <v>0.75239398084815323</v>
      </c>
    </row>
    <row r="65" spans="1:9" x14ac:dyDescent="0.3">
      <c r="A65" s="30">
        <v>18</v>
      </c>
      <c r="B65" s="1">
        <v>2375</v>
      </c>
      <c r="C65" s="1">
        <f t="shared" si="5"/>
        <v>3300</v>
      </c>
      <c r="D65" s="1">
        <f t="shared" si="6"/>
        <v>0.71969696969696972</v>
      </c>
    </row>
    <row r="66" spans="1:9" x14ac:dyDescent="0.3">
      <c r="A66" s="30">
        <v>19</v>
      </c>
      <c r="B66" s="1">
        <v>2125</v>
      </c>
      <c r="C66" s="1">
        <f t="shared" si="5"/>
        <v>3420.4545454545455</v>
      </c>
      <c r="D66" s="1">
        <f t="shared" si="6"/>
        <v>0.62126245847176076</v>
      </c>
    </row>
    <row r="67" spans="1:9" x14ac:dyDescent="0.3">
      <c r="A67" s="30">
        <v>20</v>
      </c>
      <c r="B67" s="1">
        <v>1750</v>
      </c>
      <c r="C67" s="1">
        <f t="shared" si="5"/>
        <v>3492.7272727272725</v>
      </c>
      <c r="D67" s="1">
        <f t="shared" si="6"/>
        <v>0.50104112441436754</v>
      </c>
    </row>
    <row r="68" spans="1:9" x14ac:dyDescent="0.3">
      <c r="A68" s="30">
        <v>21</v>
      </c>
      <c r="B68" s="1">
        <v>3625</v>
      </c>
      <c r="C68" s="1">
        <f t="shared" si="5"/>
        <v>3410.909090909091</v>
      </c>
      <c r="D68" s="1">
        <f t="shared" si="6"/>
        <v>1.0627665245202558</v>
      </c>
    </row>
    <row r="69" spans="1:9" x14ac:dyDescent="0.3">
      <c r="A69" s="30">
        <v>22</v>
      </c>
      <c r="B69" s="1">
        <v>4875</v>
      </c>
      <c r="C69" s="1">
        <f t="shared" si="5"/>
        <v>3529.090909090909</v>
      </c>
      <c r="D69" s="1">
        <f t="shared" si="6"/>
        <v>1.3813755795981453</v>
      </c>
    </row>
    <row r="70" spans="1:9" x14ac:dyDescent="0.3">
      <c r="A70" s="30">
        <v>23</v>
      </c>
      <c r="B70" s="1">
        <v>5000</v>
      </c>
      <c r="C70" s="1">
        <f t="shared" si="5"/>
        <v>3575.4545454545455</v>
      </c>
      <c r="D70" s="1">
        <f t="shared" si="6"/>
        <v>1.398423595219934</v>
      </c>
    </row>
    <row r="71" spans="1:9" x14ac:dyDescent="0.3">
      <c r="A71" s="30">
        <v>24</v>
      </c>
      <c r="B71" s="1">
        <v>5125</v>
      </c>
      <c r="C71" s="1">
        <f t="shared" si="5"/>
        <v>3594.090909090909</v>
      </c>
      <c r="D71" s="1">
        <f t="shared" si="6"/>
        <v>1.4259516883773871</v>
      </c>
    </row>
    <row r="72" spans="1:9" x14ac:dyDescent="0.3">
      <c r="A72" s="30">
        <v>25</v>
      </c>
      <c r="B72" s="1">
        <v>3920</v>
      </c>
      <c r="C72" s="1">
        <f t="shared" si="5"/>
        <v>3623.6363636363635</v>
      </c>
      <c r="D72" s="1">
        <f t="shared" si="6"/>
        <v>1.0817862518815855</v>
      </c>
      <c r="F72" s="5" t="s">
        <v>43</v>
      </c>
      <c r="G72" s="1" t="s">
        <v>50</v>
      </c>
      <c r="H72" s="1" t="s">
        <v>51</v>
      </c>
      <c r="I72" s="32" t="s">
        <v>42</v>
      </c>
    </row>
    <row r="73" spans="1:9" x14ac:dyDescent="0.3">
      <c r="A73" s="30">
        <v>26</v>
      </c>
      <c r="B73" s="1">
        <v>3225</v>
      </c>
      <c r="C73" s="1">
        <f t="shared" si="5"/>
        <v>3673.6363636363635</v>
      </c>
      <c r="D73" s="1">
        <f t="shared" si="6"/>
        <v>0.87787676317743135</v>
      </c>
      <c r="F73" s="5">
        <v>37</v>
      </c>
      <c r="G73" s="1">
        <f>F73*8.2995+3297.1</f>
        <v>3604.1814999999997</v>
      </c>
      <c r="H73" s="1">
        <f>AVERAGE(D60,D72)</f>
        <v>1.0865850319460146</v>
      </c>
      <c r="I73" s="32">
        <f>ROUND(G73*H73,0)</f>
        <v>3916</v>
      </c>
    </row>
    <row r="74" spans="1:9" x14ac:dyDescent="0.3">
      <c r="A74" s="30">
        <v>27</v>
      </c>
      <c r="B74" s="1">
        <v>4300</v>
      </c>
      <c r="C74" s="1">
        <f t="shared" si="5"/>
        <v>3515.909090909091</v>
      </c>
      <c r="D74" s="1">
        <f t="shared" si="6"/>
        <v>1.2230122818358111</v>
      </c>
      <c r="F74" s="5">
        <v>38</v>
      </c>
      <c r="G74" s="1">
        <f t="shared" ref="G74:G84" si="7">F74*8.2995+3297.1</f>
        <v>3612.4809999999998</v>
      </c>
      <c r="H74" s="1">
        <f t="shared" ref="H74:H77" si="8">AVERAGE(D61,D73)</f>
        <v>0.881915185712427</v>
      </c>
      <c r="I74" s="32">
        <f t="shared" ref="I74:I84" si="9">ROUND(G74*H74,0)</f>
        <v>3186</v>
      </c>
    </row>
    <row r="75" spans="1:9" x14ac:dyDescent="0.3">
      <c r="A75" s="30">
        <v>28</v>
      </c>
      <c r="B75" s="1">
        <v>3010</v>
      </c>
      <c r="C75" s="1">
        <f t="shared" si="5"/>
        <v>3426.3636363636365</v>
      </c>
      <c r="D75" s="1">
        <f t="shared" si="6"/>
        <v>0.87848235606261604</v>
      </c>
      <c r="F75" s="5">
        <v>39</v>
      </c>
      <c r="G75" s="1">
        <f t="shared" si="7"/>
        <v>3620.7804999999998</v>
      </c>
      <c r="H75" s="1">
        <f t="shared" si="8"/>
        <v>1.2197501087463238</v>
      </c>
      <c r="I75" s="32">
        <f t="shared" si="9"/>
        <v>4416</v>
      </c>
    </row>
    <row r="76" spans="1:9" x14ac:dyDescent="0.3">
      <c r="A76" s="30">
        <v>29</v>
      </c>
      <c r="B76" s="1">
        <v>2580</v>
      </c>
      <c r="C76" s="1">
        <f t="shared" si="5"/>
        <v>3430.909090909091</v>
      </c>
      <c r="D76" s="1">
        <f t="shared" si="6"/>
        <v>0.75198728139904614</v>
      </c>
      <c r="F76" s="5">
        <v>40</v>
      </c>
      <c r="G76" s="1">
        <f t="shared" si="7"/>
        <v>3629.08</v>
      </c>
      <c r="H76" s="1">
        <f t="shared" si="8"/>
        <v>0.89222676485354546</v>
      </c>
      <c r="I76" s="32">
        <f t="shared" si="9"/>
        <v>3238</v>
      </c>
    </row>
    <row r="77" spans="1:9" x14ac:dyDescent="0.3">
      <c r="A77" s="30">
        <v>30</v>
      </c>
      <c r="B77" s="1">
        <v>2450</v>
      </c>
      <c r="C77" s="1">
        <f t="shared" si="5"/>
        <v>3452.2727272727275</v>
      </c>
      <c r="D77" s="1">
        <f t="shared" si="6"/>
        <v>0.70967741935483863</v>
      </c>
      <c r="F77" s="5">
        <v>41</v>
      </c>
      <c r="G77" s="1">
        <f t="shared" si="7"/>
        <v>3637.3795</v>
      </c>
      <c r="H77" s="1">
        <f t="shared" si="8"/>
        <v>0.75219063112359974</v>
      </c>
      <c r="I77" s="32">
        <f t="shared" si="9"/>
        <v>2736</v>
      </c>
    </row>
    <row r="78" spans="1:9" x14ac:dyDescent="0.3">
      <c r="A78" s="30">
        <v>31</v>
      </c>
      <c r="B78" s="1">
        <v>2300</v>
      </c>
      <c r="C78" s="1">
        <f>AVERAGE(B73:B83)</f>
        <v>3588.6363636363635</v>
      </c>
      <c r="D78" s="1">
        <f t="shared" si="6"/>
        <v>0.64091196960101338</v>
      </c>
      <c r="F78" s="5">
        <v>42</v>
      </c>
      <c r="G78" s="1">
        <f t="shared" si="7"/>
        <v>3645.6790000000001</v>
      </c>
      <c r="H78" s="1">
        <f>AVERAGE(D53,D65,D77)</f>
        <v>0.73467409212525059</v>
      </c>
      <c r="I78" s="32">
        <f t="shared" si="9"/>
        <v>2678</v>
      </c>
    </row>
    <row r="79" spans="1:9" x14ac:dyDescent="0.3">
      <c r="A79" s="30">
        <v>32</v>
      </c>
      <c r="B79" s="1">
        <v>1890</v>
      </c>
      <c r="C79" s="1"/>
      <c r="D79" s="1"/>
      <c r="F79" s="5">
        <v>43</v>
      </c>
      <c r="G79" s="1">
        <f t="shared" si="7"/>
        <v>3653.9785000000002</v>
      </c>
      <c r="H79" s="1">
        <f>AVERAGE(D54,D66,D78)</f>
        <v>0.61892300755578955</v>
      </c>
      <c r="I79" s="32">
        <f t="shared" si="9"/>
        <v>2262</v>
      </c>
    </row>
    <row r="80" spans="1:9" x14ac:dyDescent="0.3">
      <c r="A80" s="30">
        <v>33</v>
      </c>
      <c r="B80" s="1">
        <v>3890</v>
      </c>
      <c r="C80" s="1"/>
      <c r="D80" s="1"/>
      <c r="F80" s="5">
        <v>44</v>
      </c>
      <c r="G80" s="1">
        <f t="shared" si="7"/>
        <v>3662.2779999999998</v>
      </c>
      <c r="H80" s="1">
        <f>AVERAGE(D55,D67)</f>
        <v>0.48696236114898273</v>
      </c>
      <c r="I80" s="32">
        <f t="shared" si="9"/>
        <v>1783</v>
      </c>
    </row>
    <row r="81" spans="1:9" x14ac:dyDescent="0.3">
      <c r="A81" s="30">
        <v>34</v>
      </c>
      <c r="B81" s="1">
        <v>5050</v>
      </c>
      <c r="C81" s="1"/>
      <c r="D81" s="1"/>
      <c r="F81" s="5">
        <v>45</v>
      </c>
      <c r="G81" s="1">
        <f t="shared" si="7"/>
        <v>3670.5774999999999</v>
      </c>
      <c r="H81" s="1">
        <f t="shared" ref="H81:H84" si="10">AVERAGE(D56,D68)</f>
        <v>1.018772491980646</v>
      </c>
      <c r="I81" s="32">
        <f t="shared" si="9"/>
        <v>3739</v>
      </c>
    </row>
    <row r="82" spans="1:9" x14ac:dyDescent="0.3">
      <c r="A82" s="30">
        <v>35</v>
      </c>
      <c r="B82" s="1">
        <v>5360</v>
      </c>
      <c r="C82" s="1"/>
      <c r="D82" s="1"/>
      <c r="F82" s="5">
        <v>46</v>
      </c>
      <c r="G82" s="1">
        <f t="shared" si="7"/>
        <v>3678.877</v>
      </c>
      <c r="H82" s="1">
        <f t="shared" si="10"/>
        <v>1.3542266637937108</v>
      </c>
      <c r="I82" s="32">
        <f t="shared" si="9"/>
        <v>4982</v>
      </c>
    </row>
    <row r="83" spans="1:9" x14ac:dyDescent="0.3">
      <c r="A83" s="30">
        <v>36</v>
      </c>
      <c r="B83" s="1">
        <v>5420</v>
      </c>
      <c r="C83" s="1"/>
      <c r="D83" s="1"/>
      <c r="F83" s="5">
        <v>47</v>
      </c>
      <c r="G83" s="1">
        <f t="shared" si="7"/>
        <v>3687.1765</v>
      </c>
      <c r="H83" s="1">
        <f t="shared" si="10"/>
        <v>1.3880713889085827</v>
      </c>
      <c r="I83" s="32">
        <f t="shared" si="9"/>
        <v>5118</v>
      </c>
    </row>
    <row r="84" spans="1:9" x14ac:dyDescent="0.3">
      <c r="F84" s="5">
        <v>48</v>
      </c>
      <c r="G84" s="1">
        <f t="shared" si="7"/>
        <v>3695.4759999999997</v>
      </c>
      <c r="H84" s="1">
        <f t="shared" si="10"/>
        <v>1.4743469714134794</v>
      </c>
      <c r="I84" s="32">
        <f t="shared" si="9"/>
        <v>5448</v>
      </c>
    </row>
  </sheetData>
  <mergeCells count="2">
    <mergeCell ref="A1:L1"/>
    <mergeCell ref="A44:L4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9FF45-AF17-4B78-9755-9A3B04D4BB09}">
  <dimension ref="A4:J64"/>
  <sheetViews>
    <sheetView workbookViewId="0">
      <selection activeCell="C8" sqref="C8"/>
    </sheetView>
  </sheetViews>
  <sheetFormatPr baseColWidth="10" defaultRowHeight="14.4" x14ac:dyDescent="0.3"/>
  <cols>
    <col min="8" max="8" width="13.88671875" bestFit="1" customWidth="1"/>
  </cols>
  <sheetData>
    <row r="4" spans="1:4" ht="28.8" x14ac:dyDescent="0.3">
      <c r="A4" s="3" t="s">
        <v>43</v>
      </c>
      <c r="B4" s="5" t="s">
        <v>12</v>
      </c>
      <c r="C4" t="s">
        <v>54</v>
      </c>
      <c r="D4" s="33" t="s">
        <v>45</v>
      </c>
    </row>
    <row r="5" spans="1:4" x14ac:dyDescent="0.3">
      <c r="A5" s="1">
        <v>1</v>
      </c>
      <c r="B5" s="4">
        <v>2173</v>
      </c>
      <c r="C5" s="1"/>
    </row>
    <row r="6" spans="1:4" x14ac:dyDescent="0.3">
      <c r="A6" s="1">
        <v>2</v>
      </c>
      <c r="B6" s="4">
        <v>2279</v>
      </c>
      <c r="C6" s="1"/>
    </row>
    <row r="7" spans="1:4" x14ac:dyDescent="0.3">
      <c r="A7" s="1">
        <v>3</v>
      </c>
      <c r="B7" s="4">
        <v>1633</v>
      </c>
      <c r="C7" s="1"/>
    </row>
    <row r="8" spans="1:4" x14ac:dyDescent="0.3">
      <c r="A8" s="1">
        <v>4</v>
      </c>
      <c r="B8" s="4">
        <v>1759</v>
      </c>
      <c r="C8" s="4">
        <f t="shared" ref="C8:C39" si="0">AVERAGE(B5:B11)</f>
        <v>1948.1428571428571</v>
      </c>
      <c r="D8">
        <f>B8/C8</f>
        <v>0.90291119747745108</v>
      </c>
    </row>
    <row r="9" spans="1:4" x14ac:dyDescent="0.3">
      <c r="A9" s="1">
        <v>5</v>
      </c>
      <c r="B9" s="4">
        <v>2365</v>
      </c>
      <c r="C9" s="4">
        <f t="shared" si="0"/>
        <v>1890.1428571428571</v>
      </c>
      <c r="D9">
        <f t="shared" ref="D9:D61" si="1">B9/C9</f>
        <v>1.2512281762527397</v>
      </c>
    </row>
    <row r="10" spans="1:4" x14ac:dyDescent="0.3">
      <c r="A10" s="1">
        <v>6</v>
      </c>
      <c r="B10" s="4">
        <v>1779</v>
      </c>
      <c r="C10" s="4">
        <f t="shared" si="0"/>
        <v>1882.5714285714287</v>
      </c>
      <c r="D10">
        <f t="shared" si="1"/>
        <v>0.94498406434967364</v>
      </c>
    </row>
    <row r="11" spans="1:4" x14ac:dyDescent="0.3">
      <c r="A11" s="1">
        <v>7</v>
      </c>
      <c r="B11" s="4">
        <v>1649</v>
      </c>
      <c r="C11" s="4">
        <f t="shared" si="0"/>
        <v>1969.1428571428571</v>
      </c>
      <c r="D11">
        <f t="shared" si="1"/>
        <v>0.83742019733023798</v>
      </c>
    </row>
    <row r="12" spans="1:4" x14ac:dyDescent="0.3">
      <c r="A12" s="1">
        <v>8</v>
      </c>
      <c r="B12" s="4">
        <v>1767</v>
      </c>
      <c r="C12" s="4">
        <f t="shared" si="0"/>
        <v>2044.5714285714287</v>
      </c>
      <c r="D12">
        <f t="shared" si="1"/>
        <v>0.86423979877026269</v>
      </c>
    </row>
    <row r="13" spans="1:4" x14ac:dyDescent="0.3">
      <c r="A13" s="1">
        <v>9</v>
      </c>
      <c r="B13" s="4">
        <v>2226</v>
      </c>
      <c r="C13" s="4">
        <f t="shared" si="0"/>
        <v>1939.2857142857142</v>
      </c>
      <c r="D13">
        <f t="shared" si="1"/>
        <v>1.1478453038674032</v>
      </c>
    </row>
    <row r="14" spans="1:4" x14ac:dyDescent="0.3">
      <c r="A14" s="1">
        <v>10</v>
      </c>
      <c r="B14" s="4">
        <v>2239</v>
      </c>
      <c r="C14" s="4">
        <f t="shared" si="0"/>
        <v>1998.6757142857143</v>
      </c>
      <c r="D14">
        <f t="shared" si="1"/>
        <v>1.1202417600797099</v>
      </c>
    </row>
    <row r="15" spans="1:4" x14ac:dyDescent="0.3">
      <c r="A15" s="1">
        <v>11</v>
      </c>
      <c r="B15" s="4">
        <v>2287</v>
      </c>
      <c r="C15" s="4">
        <f t="shared" si="0"/>
        <v>2098.4428571428571</v>
      </c>
      <c r="D15">
        <f t="shared" si="1"/>
        <v>1.0898557433743388</v>
      </c>
    </row>
    <row r="16" spans="1:4" x14ac:dyDescent="0.3">
      <c r="A16" s="1">
        <v>12</v>
      </c>
      <c r="B16" s="4">
        <v>1628</v>
      </c>
      <c r="C16" s="4">
        <f t="shared" si="0"/>
        <v>2083.9657142857141</v>
      </c>
      <c r="D16">
        <f t="shared" si="1"/>
        <v>0.7812028714483924</v>
      </c>
    </row>
    <row r="17" spans="1:4" x14ac:dyDescent="0.3">
      <c r="A17" s="1">
        <v>13</v>
      </c>
      <c r="B17" s="4">
        <v>2194.73</v>
      </c>
      <c r="C17" s="4">
        <f t="shared" si="0"/>
        <v>2019.7642857142855</v>
      </c>
      <c r="D17">
        <f t="shared" si="1"/>
        <v>1.0866267987424276</v>
      </c>
    </row>
    <row r="18" spans="1:4" x14ac:dyDescent="0.3">
      <c r="A18" s="1">
        <v>14</v>
      </c>
      <c r="B18" s="4">
        <v>2347.37</v>
      </c>
      <c r="C18" s="4">
        <f t="shared" si="0"/>
        <v>2041.1428571428569</v>
      </c>
      <c r="D18">
        <f t="shared" si="1"/>
        <v>1.1500272956326989</v>
      </c>
    </row>
    <row r="19" spans="1:4" x14ac:dyDescent="0.3">
      <c r="A19" s="1">
        <v>15</v>
      </c>
      <c r="B19" s="4">
        <v>1665.66</v>
      </c>
      <c r="C19" s="4">
        <f t="shared" si="0"/>
        <v>1976.1957142857143</v>
      </c>
      <c r="D19">
        <f t="shared" si="1"/>
        <v>0.84286186229385907</v>
      </c>
    </row>
    <row r="20" spans="1:4" x14ac:dyDescent="0.3">
      <c r="A20" s="1">
        <v>16</v>
      </c>
      <c r="B20" s="4">
        <v>1776.59</v>
      </c>
      <c r="C20" s="4">
        <f t="shared" si="0"/>
        <v>1986.2628571428572</v>
      </c>
      <c r="D20">
        <f t="shared" si="1"/>
        <v>0.89443851482755832</v>
      </c>
    </row>
    <row r="21" spans="1:4" x14ac:dyDescent="0.3">
      <c r="A21" s="1">
        <v>17</v>
      </c>
      <c r="B21" s="4">
        <v>2388.65</v>
      </c>
      <c r="C21" s="4">
        <f t="shared" si="0"/>
        <v>1930.207142857143</v>
      </c>
      <c r="D21">
        <f t="shared" si="1"/>
        <v>1.2375096677262618</v>
      </c>
    </row>
    <row r="22" spans="1:4" x14ac:dyDescent="0.3">
      <c r="A22" s="1">
        <v>18</v>
      </c>
      <c r="B22" s="4">
        <v>1832.3700000000001</v>
      </c>
      <c r="C22" s="4">
        <f t="shared" si="0"/>
        <v>1922.4085714285716</v>
      </c>
      <c r="D22">
        <f t="shared" si="1"/>
        <v>0.95316366522353657</v>
      </c>
    </row>
    <row r="23" spans="1:4" x14ac:dyDescent="0.3">
      <c r="A23" s="1">
        <v>19</v>
      </c>
      <c r="B23" s="4">
        <v>1698.47</v>
      </c>
      <c r="C23" s="4">
        <f t="shared" si="0"/>
        <v>2013.91</v>
      </c>
      <c r="D23">
        <f t="shared" si="1"/>
        <v>0.84336936605905921</v>
      </c>
    </row>
    <row r="24" spans="1:4" x14ac:dyDescent="0.3">
      <c r="A24" s="1">
        <v>20</v>
      </c>
      <c r="B24" s="4">
        <v>1802.34</v>
      </c>
      <c r="C24" s="4">
        <f t="shared" si="0"/>
        <v>2090.0928571428572</v>
      </c>
      <c r="D24">
        <f t="shared" si="1"/>
        <v>0.86232532389196648</v>
      </c>
    </row>
    <row r="25" spans="1:4" x14ac:dyDescent="0.3">
      <c r="A25" s="1">
        <v>21</v>
      </c>
      <c r="B25" s="4">
        <v>2292.7800000000002</v>
      </c>
      <c r="C25" s="4">
        <f t="shared" si="0"/>
        <v>1988.4057142857143</v>
      </c>
      <c r="D25">
        <f t="shared" si="1"/>
        <v>1.1530745378206806</v>
      </c>
    </row>
    <row r="26" spans="1:4" x14ac:dyDescent="0.3">
      <c r="A26" s="1">
        <v>22</v>
      </c>
      <c r="B26" s="4">
        <v>2306.17</v>
      </c>
      <c r="C26" s="4">
        <f t="shared" si="0"/>
        <v>2049.5774142857144</v>
      </c>
      <c r="D26">
        <f t="shared" si="1"/>
        <v>1.1251929221730368</v>
      </c>
    </row>
    <row r="27" spans="1:4" x14ac:dyDescent="0.3">
      <c r="A27" s="1">
        <v>23</v>
      </c>
      <c r="B27" s="4">
        <v>2309.87</v>
      </c>
      <c r="C27" s="4">
        <f t="shared" si="0"/>
        <v>2148.9841857142856</v>
      </c>
      <c r="D27">
        <f t="shared" si="1"/>
        <v>1.0748659833586625</v>
      </c>
    </row>
    <row r="28" spans="1:4" x14ac:dyDescent="0.3">
      <c r="A28" s="1">
        <v>24</v>
      </c>
      <c r="B28" s="4">
        <v>1676.8400000000001</v>
      </c>
      <c r="C28" s="4">
        <f t="shared" si="0"/>
        <v>2134.2174999999997</v>
      </c>
      <c r="D28">
        <f t="shared" si="1"/>
        <v>0.78569311703235512</v>
      </c>
    </row>
    <row r="29" spans="1:4" x14ac:dyDescent="0.3">
      <c r="A29" s="1">
        <v>25</v>
      </c>
      <c r="B29" s="4">
        <v>2260.5718999999999</v>
      </c>
      <c r="C29" s="4">
        <f t="shared" si="0"/>
        <v>2065.5520428571431</v>
      </c>
      <c r="D29">
        <f t="shared" si="1"/>
        <v>1.0944153684324984</v>
      </c>
    </row>
    <row r="30" spans="1:4" x14ac:dyDescent="0.3">
      <c r="A30" s="1">
        <v>26</v>
      </c>
      <c r="B30" s="4">
        <v>2394.3173999999999</v>
      </c>
      <c r="C30" s="4">
        <f t="shared" si="0"/>
        <v>2080.7472571428571</v>
      </c>
      <c r="D30">
        <f t="shared" si="1"/>
        <v>1.1507007358922181</v>
      </c>
    </row>
    <row r="31" spans="1:4" x14ac:dyDescent="0.3">
      <c r="A31" s="1">
        <v>27</v>
      </c>
      <c r="B31" s="4">
        <v>1698.9732000000001</v>
      </c>
      <c r="C31" s="4">
        <f t="shared" si="0"/>
        <v>2017.7683142857145</v>
      </c>
      <c r="D31">
        <f t="shared" si="1"/>
        <v>0.84200608562010892</v>
      </c>
    </row>
    <row r="32" spans="1:4" x14ac:dyDescent="0.3">
      <c r="A32" s="1">
        <v>28</v>
      </c>
      <c r="B32" s="4">
        <v>1812.1217999999999</v>
      </c>
      <c r="C32" s="4">
        <f t="shared" si="0"/>
        <v>2023.2847000000002</v>
      </c>
      <c r="D32">
        <f t="shared" si="1"/>
        <v>0.89563361992506529</v>
      </c>
    </row>
    <row r="33" spans="1:10" x14ac:dyDescent="0.3">
      <c r="A33" s="1">
        <v>29</v>
      </c>
      <c r="B33" s="4">
        <v>2412.5365000000002</v>
      </c>
      <c r="C33" s="4">
        <f t="shared" si="0"/>
        <v>1965.5473142857143</v>
      </c>
      <c r="D33">
        <f t="shared" si="1"/>
        <v>1.2274120711648822</v>
      </c>
    </row>
    <row r="34" spans="1:10" x14ac:dyDescent="0.3">
      <c r="A34" s="1">
        <v>30</v>
      </c>
      <c r="B34" s="4">
        <v>1869.0174000000002</v>
      </c>
      <c r="C34" s="4">
        <f t="shared" si="0"/>
        <v>1957.5927714285715</v>
      </c>
      <c r="D34">
        <f t="shared" si="1"/>
        <v>0.95475291249469996</v>
      </c>
    </row>
    <row r="35" spans="1:10" x14ac:dyDescent="0.3">
      <c r="A35" s="1">
        <v>31</v>
      </c>
      <c r="B35" s="4">
        <v>1715.4547</v>
      </c>
      <c r="C35" s="4">
        <f t="shared" si="0"/>
        <v>2047.6297</v>
      </c>
      <c r="D35">
        <f t="shared" si="1"/>
        <v>0.83777584394287696</v>
      </c>
    </row>
    <row r="36" spans="1:10" x14ac:dyDescent="0.3">
      <c r="A36" s="1">
        <v>32</v>
      </c>
      <c r="B36" s="4">
        <v>1856.4102</v>
      </c>
      <c r="C36" s="4">
        <f t="shared" si="0"/>
        <v>2122.0364</v>
      </c>
      <c r="D36">
        <f t="shared" si="1"/>
        <v>0.87482486162819828</v>
      </c>
    </row>
    <row r="37" spans="1:10" x14ac:dyDescent="0.3">
      <c r="A37" s="1">
        <v>33</v>
      </c>
      <c r="B37" s="4">
        <v>2338.6356000000001</v>
      </c>
      <c r="C37" s="4">
        <f t="shared" si="0"/>
        <v>2024.1233571428572</v>
      </c>
      <c r="D37">
        <f t="shared" si="1"/>
        <v>1.1553819542407193</v>
      </c>
    </row>
    <row r="38" spans="1:10" x14ac:dyDescent="0.3">
      <c r="A38" s="1">
        <v>34</v>
      </c>
      <c r="B38" s="4">
        <v>2329.2317000000003</v>
      </c>
      <c r="C38" s="4">
        <f t="shared" si="0"/>
        <v>2083.2637285714286</v>
      </c>
      <c r="D38">
        <f t="shared" si="1"/>
        <v>1.118068570990405</v>
      </c>
    </row>
    <row r="39" spans="1:10" x14ac:dyDescent="0.3">
      <c r="A39" s="1">
        <v>35</v>
      </c>
      <c r="B39" s="4">
        <v>2332.9686999999999</v>
      </c>
      <c r="C39" s="4">
        <f t="shared" si="0"/>
        <v>2190.4844857142857</v>
      </c>
      <c r="D39">
        <f t="shared" si="1"/>
        <v>1.0650468949745846</v>
      </c>
    </row>
    <row r="40" spans="1:10" x14ac:dyDescent="0.3">
      <c r="A40" s="1">
        <v>36</v>
      </c>
      <c r="B40" s="4">
        <v>1727.1452000000002</v>
      </c>
      <c r="C40" s="4">
        <f t="shared" ref="C40:C61" si="2">AVERAGE(B37:B43)</f>
        <v>2172.854457142857</v>
      </c>
      <c r="D40">
        <f t="shared" si="1"/>
        <v>0.79487385559687618</v>
      </c>
      <c r="F40" s="1"/>
      <c r="G40" s="1"/>
      <c r="H40" s="1" t="s">
        <v>55</v>
      </c>
      <c r="I40" s="1" t="s">
        <v>51</v>
      </c>
      <c r="J40" s="29" t="s">
        <v>42</v>
      </c>
    </row>
    <row r="41" spans="1:10" x14ac:dyDescent="0.3">
      <c r="A41" s="1">
        <v>37</v>
      </c>
      <c r="B41" s="1">
        <v>2283</v>
      </c>
      <c r="C41" s="4">
        <f t="shared" si="2"/>
        <v>2102.763657142857</v>
      </c>
      <c r="D41">
        <f t="shared" si="1"/>
        <v>1.0857140279388509</v>
      </c>
      <c r="F41" s="1">
        <v>61</v>
      </c>
      <c r="G41" s="1" t="s">
        <v>0</v>
      </c>
      <c r="H41" s="1">
        <f>F41*3.3719+1956.4</f>
        <v>2162.0859</v>
      </c>
      <c r="I41" s="1">
        <f>(D17+D29+D41+D53)/4</f>
        <v>1.0878994560182633</v>
      </c>
      <c r="J41" s="29">
        <f>ROUND(H41*I41,0)</f>
        <v>2352</v>
      </c>
    </row>
    <row r="42" spans="1:10" x14ac:dyDescent="0.3">
      <c r="A42" s="1">
        <v>38</v>
      </c>
      <c r="B42" s="1">
        <v>2466</v>
      </c>
      <c r="C42" s="4">
        <f t="shared" si="2"/>
        <v>2125.0162714285716</v>
      </c>
      <c r="D42">
        <f t="shared" si="1"/>
        <v>1.1604617024142585</v>
      </c>
      <c r="F42" s="1">
        <v>62</v>
      </c>
      <c r="G42" s="1" t="s">
        <v>1</v>
      </c>
      <c r="H42" s="1">
        <f t="shared" ref="H42:H52" si="3">F42*3.3719+1956.4</f>
        <v>2165.4578000000001</v>
      </c>
      <c r="I42" s="1">
        <f t="shared" ref="I42:I43" si="4">(D18+D30+D42+D54)/4</f>
        <v>1.1580205154735987</v>
      </c>
      <c r="J42" s="29">
        <f t="shared" ref="J42:J52" si="5">ROUND(H42*I42,0)</f>
        <v>2508</v>
      </c>
    </row>
    <row r="43" spans="1:10" x14ac:dyDescent="0.3">
      <c r="A43" s="1">
        <v>39</v>
      </c>
      <c r="B43" s="1">
        <v>1733</v>
      </c>
      <c r="C43" s="4">
        <f t="shared" si="2"/>
        <v>2066.7350285714283</v>
      </c>
      <c r="D43">
        <f t="shared" si="1"/>
        <v>0.83852065022475908</v>
      </c>
      <c r="F43" s="1">
        <v>63</v>
      </c>
      <c r="G43" s="1" t="s">
        <v>2</v>
      </c>
      <c r="H43" s="1">
        <f t="shared" si="3"/>
        <v>2168.8297000000002</v>
      </c>
      <c r="I43" s="1">
        <f t="shared" si="4"/>
        <v>0.83973183762541892</v>
      </c>
      <c r="J43" s="29">
        <f t="shared" si="5"/>
        <v>1821</v>
      </c>
    </row>
    <row r="44" spans="1:10" x14ac:dyDescent="0.3">
      <c r="A44" s="1">
        <v>40</v>
      </c>
      <c r="B44" s="1">
        <v>1848</v>
      </c>
      <c r="C44" s="4">
        <f t="shared" si="2"/>
        <v>2067.5714285714284</v>
      </c>
      <c r="D44">
        <f t="shared" si="1"/>
        <v>0.8938022524701168</v>
      </c>
      <c r="F44" s="1">
        <v>64</v>
      </c>
      <c r="G44" s="1" t="s">
        <v>3</v>
      </c>
      <c r="H44" s="1">
        <f t="shared" si="3"/>
        <v>2172.2016000000003</v>
      </c>
      <c r="I44" s="1">
        <f>(D8+D20+D32+D44+D56)/5</f>
        <v>0.89735846820008836</v>
      </c>
      <c r="J44" s="29">
        <f t="shared" si="5"/>
        <v>1949</v>
      </c>
    </row>
    <row r="45" spans="1:10" x14ac:dyDescent="0.3">
      <c r="A45" s="1">
        <v>41</v>
      </c>
      <c r="B45" s="1">
        <v>2485</v>
      </c>
      <c r="C45" s="4">
        <f t="shared" si="2"/>
        <v>2009.2857142857142</v>
      </c>
      <c r="D45">
        <f t="shared" si="1"/>
        <v>1.2367579097049415</v>
      </c>
      <c r="F45" s="1">
        <v>65</v>
      </c>
      <c r="G45" s="1" t="s">
        <v>4</v>
      </c>
      <c r="H45" s="1">
        <f t="shared" si="3"/>
        <v>2175.5735</v>
      </c>
      <c r="I45" s="1">
        <f t="shared" ref="I45:I49" si="6">(D9+D21+D33+D45+D57)/5</f>
        <v>1.2351868830819746</v>
      </c>
      <c r="J45" s="29">
        <f t="shared" si="5"/>
        <v>2687</v>
      </c>
    </row>
    <row r="46" spans="1:10" x14ac:dyDescent="0.3">
      <c r="A46" s="1">
        <v>42</v>
      </c>
      <c r="B46" s="1">
        <v>1925</v>
      </c>
      <c r="C46" s="4">
        <f t="shared" si="2"/>
        <v>1997.7142857142858</v>
      </c>
      <c r="D46">
        <f t="shared" si="1"/>
        <v>0.96360125858123569</v>
      </c>
      <c r="F46" s="1">
        <v>66</v>
      </c>
      <c r="G46" s="1" t="s">
        <v>5</v>
      </c>
      <c r="H46" s="1">
        <f t="shared" si="3"/>
        <v>2178.9454000000001</v>
      </c>
      <c r="I46" s="1">
        <f t="shared" si="6"/>
        <v>0.95832672364932336</v>
      </c>
      <c r="J46" s="29">
        <f t="shared" si="5"/>
        <v>2088</v>
      </c>
    </row>
    <row r="47" spans="1:10" x14ac:dyDescent="0.3">
      <c r="A47" s="1">
        <v>43</v>
      </c>
      <c r="B47" s="1">
        <v>1733</v>
      </c>
      <c r="C47" s="4">
        <f t="shared" si="2"/>
        <v>2086.2857142857142</v>
      </c>
      <c r="D47">
        <f t="shared" si="1"/>
        <v>0.83066283210079428</v>
      </c>
      <c r="F47" s="1">
        <v>67</v>
      </c>
      <c r="G47" s="1" t="s">
        <v>6</v>
      </c>
      <c r="H47" s="1">
        <f t="shared" si="3"/>
        <v>2182.3173000000002</v>
      </c>
      <c r="I47" s="1">
        <f t="shared" si="6"/>
        <v>0.836335188479854</v>
      </c>
      <c r="J47" s="29">
        <f t="shared" si="5"/>
        <v>1825</v>
      </c>
    </row>
    <row r="48" spans="1:10" x14ac:dyDescent="0.3">
      <c r="A48" s="1">
        <v>44</v>
      </c>
      <c r="B48" s="1">
        <v>1875</v>
      </c>
      <c r="C48" s="4">
        <f t="shared" si="2"/>
        <v>2158.8571428571427</v>
      </c>
      <c r="D48">
        <f t="shared" si="1"/>
        <v>0.86851508734780314</v>
      </c>
      <c r="F48" s="1">
        <v>68</v>
      </c>
      <c r="G48" s="1" t="s">
        <v>7</v>
      </c>
      <c r="H48" s="1">
        <f t="shared" si="3"/>
        <v>2185.6892000000003</v>
      </c>
      <c r="I48" s="1">
        <f t="shared" si="6"/>
        <v>0.86626351708900029</v>
      </c>
      <c r="J48" s="29">
        <f t="shared" si="5"/>
        <v>1893</v>
      </c>
    </row>
    <row r="49" spans="1:10" x14ac:dyDescent="0.3">
      <c r="A49" s="1">
        <v>45</v>
      </c>
      <c r="B49" s="1">
        <v>2385</v>
      </c>
      <c r="C49" s="4">
        <f t="shared" si="2"/>
        <v>2058</v>
      </c>
      <c r="D49">
        <f t="shared" si="1"/>
        <v>1.1588921282798834</v>
      </c>
      <c r="F49" s="1">
        <v>69</v>
      </c>
      <c r="G49" s="1" t="s">
        <v>8</v>
      </c>
      <c r="H49" s="1">
        <f t="shared" si="3"/>
        <v>2189.0610999999999</v>
      </c>
      <c r="I49" s="1">
        <f t="shared" si="6"/>
        <v>1.1522646395280691</v>
      </c>
      <c r="J49" s="29">
        <f t="shared" si="5"/>
        <v>2522</v>
      </c>
    </row>
    <row r="50" spans="1:10" x14ac:dyDescent="0.3">
      <c r="A50" s="1">
        <v>46</v>
      </c>
      <c r="B50" s="1">
        <v>2353</v>
      </c>
      <c r="C50" s="4">
        <f t="shared" si="2"/>
        <v>2115.7142857142858</v>
      </c>
      <c r="D50">
        <f t="shared" si="1"/>
        <v>1.1121539500337609</v>
      </c>
      <c r="F50" s="1">
        <v>70</v>
      </c>
      <c r="G50" s="1" t="s">
        <v>9</v>
      </c>
      <c r="H50" s="1">
        <f t="shared" si="3"/>
        <v>2192.433</v>
      </c>
      <c r="I50" s="1">
        <f>(D14+D26+D38+D50)/4</f>
        <v>1.1189143008192282</v>
      </c>
      <c r="J50" s="29">
        <f t="shared" si="5"/>
        <v>2453</v>
      </c>
    </row>
    <row r="51" spans="1:10" x14ac:dyDescent="0.3">
      <c r="A51" s="1">
        <v>47</v>
      </c>
      <c r="B51" s="1">
        <v>2356</v>
      </c>
      <c r="C51" s="4">
        <f t="shared" si="2"/>
        <v>2231</v>
      </c>
      <c r="D51">
        <f t="shared" si="1"/>
        <v>1.0560286866875841</v>
      </c>
      <c r="F51" s="1">
        <v>71</v>
      </c>
      <c r="G51" s="1" t="s">
        <v>10</v>
      </c>
      <c r="H51" s="1">
        <f t="shared" si="3"/>
        <v>2195.8049000000001</v>
      </c>
      <c r="I51" s="1">
        <f t="shared" ref="I51:I52" si="7">(D15+D27+D39+D51)/4</f>
        <v>1.0714493270987924</v>
      </c>
      <c r="J51" s="29">
        <f t="shared" si="5"/>
        <v>2353</v>
      </c>
    </row>
    <row r="52" spans="1:10" x14ac:dyDescent="0.3">
      <c r="A52" s="1">
        <v>48</v>
      </c>
      <c r="B52" s="1">
        <v>1779</v>
      </c>
      <c r="C52" s="4">
        <f t="shared" si="2"/>
        <v>2215.7142857142858</v>
      </c>
      <c r="D52">
        <f t="shared" si="1"/>
        <v>0.8029013539651837</v>
      </c>
      <c r="F52" s="1">
        <v>72</v>
      </c>
      <c r="G52" s="1" t="s">
        <v>11</v>
      </c>
      <c r="H52" s="1">
        <f t="shared" si="3"/>
        <v>2199.1768000000002</v>
      </c>
      <c r="I52" s="1">
        <f t="shared" si="7"/>
        <v>0.79116779951070182</v>
      </c>
      <c r="J52" s="29">
        <f t="shared" si="5"/>
        <v>1740</v>
      </c>
    </row>
    <row r="53" spans="1:10" x14ac:dyDescent="0.3">
      <c r="A53" s="1">
        <v>49</v>
      </c>
      <c r="B53" s="1">
        <v>2329</v>
      </c>
      <c r="C53" s="4">
        <f t="shared" si="2"/>
        <v>2146.8571428571427</v>
      </c>
      <c r="D53">
        <f t="shared" si="1"/>
        <v>1.0848416289592762</v>
      </c>
    </row>
    <row r="54" spans="1:10" x14ac:dyDescent="0.3">
      <c r="A54" s="1">
        <v>50</v>
      </c>
      <c r="B54" s="1">
        <v>2540</v>
      </c>
      <c r="C54" s="4">
        <f t="shared" si="2"/>
        <v>2169.2857142857142</v>
      </c>
      <c r="D54">
        <f t="shared" si="1"/>
        <v>1.170892327955219</v>
      </c>
    </row>
    <row r="55" spans="1:10" x14ac:dyDescent="0.3">
      <c r="A55" s="1">
        <v>51</v>
      </c>
      <c r="B55" s="1">
        <v>1768</v>
      </c>
      <c r="C55" s="4">
        <f t="shared" si="2"/>
        <v>2116</v>
      </c>
      <c r="D55">
        <f t="shared" si="1"/>
        <v>0.83553875236294894</v>
      </c>
    </row>
    <row r="56" spans="1:10" x14ac:dyDescent="0.3">
      <c r="A56" s="1">
        <v>52</v>
      </c>
      <c r="B56" s="1">
        <v>1903</v>
      </c>
      <c r="C56" s="4">
        <f t="shared" si="2"/>
        <v>2114.4285714285716</v>
      </c>
      <c r="D56">
        <f t="shared" si="1"/>
        <v>0.90000675630024995</v>
      </c>
    </row>
    <row r="57" spans="1:10" x14ac:dyDescent="0.3">
      <c r="A57" s="1">
        <v>53</v>
      </c>
      <c r="B57" s="1">
        <v>2510</v>
      </c>
      <c r="C57" s="4">
        <f t="shared" si="2"/>
        <v>2052.2857142857142</v>
      </c>
      <c r="D57">
        <f t="shared" si="1"/>
        <v>1.2230265905610469</v>
      </c>
    </row>
    <row r="58" spans="1:10" x14ac:dyDescent="0.3">
      <c r="A58" s="1">
        <v>54</v>
      </c>
      <c r="B58" s="1">
        <v>1983</v>
      </c>
      <c r="C58" s="4">
        <f t="shared" si="2"/>
        <v>2033.5714285714287</v>
      </c>
      <c r="D58">
        <f t="shared" si="1"/>
        <v>0.97513171759747097</v>
      </c>
    </row>
    <row r="59" spans="1:10" x14ac:dyDescent="0.3">
      <c r="A59" s="1">
        <v>55</v>
      </c>
      <c r="B59" s="1">
        <v>1768</v>
      </c>
      <c r="C59" s="4">
        <f t="shared" si="2"/>
        <v>2123.8571428571427</v>
      </c>
      <c r="D59">
        <f t="shared" si="1"/>
        <v>0.83244770296630133</v>
      </c>
    </row>
    <row r="60" spans="1:10" x14ac:dyDescent="0.3">
      <c r="A60" s="1">
        <v>56</v>
      </c>
      <c r="B60" s="1">
        <v>1894</v>
      </c>
      <c r="C60" s="4">
        <f t="shared" si="2"/>
        <v>2198.7142857142858</v>
      </c>
      <c r="D60">
        <f t="shared" si="1"/>
        <v>0.8614125138067702</v>
      </c>
    </row>
    <row r="61" spans="1:10" x14ac:dyDescent="0.3">
      <c r="A61" s="1">
        <v>57</v>
      </c>
      <c r="B61" s="1">
        <v>2409</v>
      </c>
      <c r="C61" s="4">
        <f t="shared" si="2"/>
        <v>2101.8571428571427</v>
      </c>
      <c r="D61">
        <f t="shared" si="1"/>
        <v>1.1461292734316593</v>
      </c>
    </row>
    <row r="62" spans="1:10" x14ac:dyDescent="0.3">
      <c r="A62" s="1">
        <v>58</v>
      </c>
      <c r="B62" s="1">
        <v>2400</v>
      </c>
      <c r="C62" s="1"/>
    </row>
    <row r="63" spans="1:10" x14ac:dyDescent="0.3">
      <c r="A63" s="1">
        <v>59</v>
      </c>
      <c r="B63" s="1">
        <v>2427</v>
      </c>
      <c r="C63" s="1"/>
    </row>
    <row r="64" spans="1:10" x14ac:dyDescent="0.3">
      <c r="A64" s="1">
        <v>60</v>
      </c>
      <c r="B64" s="1">
        <v>1832</v>
      </c>
      <c r="C64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4F083-F4F1-46DB-93A7-8DFBA1F4E295}">
  <dimension ref="A1:L40"/>
  <sheetViews>
    <sheetView topLeftCell="A16" workbookViewId="0">
      <selection activeCell="K34" sqref="K34"/>
    </sheetView>
  </sheetViews>
  <sheetFormatPr baseColWidth="10" defaultRowHeight="14.4" x14ac:dyDescent="0.3"/>
  <cols>
    <col min="2" max="2" width="19.109375" customWidth="1"/>
  </cols>
  <sheetData>
    <row r="1" spans="1:12" x14ac:dyDescent="0.3">
      <c r="A1" s="76" t="s">
        <v>56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3" spans="1:12" ht="28.8" x14ac:dyDescent="0.3">
      <c r="A3" s="5" t="s">
        <v>13</v>
      </c>
      <c r="B3" s="5" t="s">
        <v>12</v>
      </c>
      <c r="C3" s="5" t="s">
        <v>57</v>
      </c>
      <c r="D3" s="31" t="s">
        <v>45</v>
      </c>
    </row>
    <row r="4" spans="1:12" x14ac:dyDescent="0.3">
      <c r="A4" s="30">
        <v>1</v>
      </c>
      <c r="B4" s="1">
        <v>3750</v>
      </c>
      <c r="C4" s="1"/>
    </row>
    <row r="5" spans="1:12" x14ac:dyDescent="0.3">
      <c r="A5" s="30">
        <v>2</v>
      </c>
      <c r="B5" s="1">
        <v>3000</v>
      </c>
      <c r="C5" s="1"/>
    </row>
    <row r="6" spans="1:12" x14ac:dyDescent="0.3">
      <c r="A6" s="30">
        <v>3</v>
      </c>
      <c r="B6" s="1">
        <v>4250</v>
      </c>
      <c r="C6" s="1">
        <f>(B4/2+B5+B6+B7+B8/2)/4</f>
        <v>3453.125</v>
      </c>
      <c r="D6" s="1">
        <f>B6/C6</f>
        <v>1.2307692307692308</v>
      </c>
    </row>
    <row r="7" spans="1:12" x14ac:dyDescent="0.3">
      <c r="A7" s="30">
        <v>4</v>
      </c>
      <c r="B7" s="1">
        <v>3500</v>
      </c>
      <c r="C7" s="1">
        <f t="shared" ref="C7:C37" si="0">(B5/2+B6+B7+B8+B9/2)/4</f>
        <v>3218.75</v>
      </c>
      <c r="D7" s="1">
        <f t="shared" ref="D7:D37" si="1">B7/C7</f>
        <v>1.087378640776699</v>
      </c>
    </row>
    <row r="8" spans="1:12" x14ac:dyDescent="0.3">
      <c r="A8" s="30">
        <v>5</v>
      </c>
      <c r="B8" s="1">
        <v>2375</v>
      </c>
      <c r="C8" s="1">
        <f t="shared" si="0"/>
        <v>2875</v>
      </c>
      <c r="D8" s="1">
        <f t="shared" si="1"/>
        <v>0.82608695652173914</v>
      </c>
    </row>
    <row r="9" spans="1:12" x14ac:dyDescent="0.3">
      <c r="A9" s="30">
        <v>6</v>
      </c>
      <c r="B9" s="1">
        <v>2500</v>
      </c>
      <c r="C9" s="1">
        <f t="shared" si="0"/>
        <v>2359.375</v>
      </c>
      <c r="D9" s="1">
        <f t="shared" si="1"/>
        <v>1.0596026490066226</v>
      </c>
    </row>
    <row r="10" spans="1:12" x14ac:dyDescent="0.3">
      <c r="A10" s="30">
        <v>7</v>
      </c>
      <c r="B10" s="1">
        <v>2000</v>
      </c>
      <c r="C10" s="1">
        <f t="shared" si="0"/>
        <v>2234.375</v>
      </c>
      <c r="D10" s="1">
        <f t="shared" si="1"/>
        <v>0.8951048951048951</v>
      </c>
    </row>
    <row r="11" spans="1:12" x14ac:dyDescent="0.3">
      <c r="A11" s="30">
        <v>8</v>
      </c>
      <c r="B11" s="1">
        <v>1625</v>
      </c>
      <c r="C11" s="1">
        <f t="shared" si="0"/>
        <v>2593.75</v>
      </c>
      <c r="D11" s="1">
        <f t="shared" si="1"/>
        <v>0.62650602409638556</v>
      </c>
    </row>
    <row r="12" spans="1:12" x14ac:dyDescent="0.3">
      <c r="A12" s="30">
        <v>9</v>
      </c>
      <c r="B12" s="1">
        <v>3250</v>
      </c>
      <c r="C12" s="1">
        <f t="shared" si="0"/>
        <v>3187.5</v>
      </c>
      <c r="D12" s="1">
        <f t="shared" si="1"/>
        <v>1.0196078431372548</v>
      </c>
    </row>
    <row r="13" spans="1:12" x14ac:dyDescent="0.3">
      <c r="A13" s="30">
        <v>10</v>
      </c>
      <c r="B13" s="1">
        <v>4500</v>
      </c>
      <c r="C13" s="1">
        <f t="shared" si="0"/>
        <v>3984.375</v>
      </c>
      <c r="D13" s="1">
        <f t="shared" si="1"/>
        <v>1.1294117647058823</v>
      </c>
    </row>
    <row r="14" spans="1:12" x14ac:dyDescent="0.3">
      <c r="A14" s="30">
        <v>11</v>
      </c>
      <c r="B14" s="1">
        <v>4750</v>
      </c>
      <c r="C14" s="1">
        <f t="shared" si="0"/>
        <v>4506.25</v>
      </c>
      <c r="D14" s="1">
        <f t="shared" si="1"/>
        <v>1.0540915395284327</v>
      </c>
    </row>
    <row r="15" spans="1:12" x14ac:dyDescent="0.3">
      <c r="A15" s="30">
        <v>12</v>
      </c>
      <c r="B15" s="1">
        <v>5250</v>
      </c>
      <c r="C15" s="1">
        <f t="shared" si="0"/>
        <v>4403.125</v>
      </c>
      <c r="D15" s="1">
        <f t="shared" si="1"/>
        <v>1.1923349893541519</v>
      </c>
    </row>
    <row r="16" spans="1:12" x14ac:dyDescent="0.3">
      <c r="A16" s="30">
        <v>13</v>
      </c>
      <c r="B16" s="1">
        <v>3800</v>
      </c>
      <c r="C16" s="1">
        <f t="shared" si="0"/>
        <v>4153.125</v>
      </c>
      <c r="D16" s="1">
        <f t="shared" si="1"/>
        <v>0.91497366440933037</v>
      </c>
    </row>
    <row r="17" spans="1:9" x14ac:dyDescent="0.3">
      <c r="A17" s="30">
        <v>14</v>
      </c>
      <c r="B17" s="1">
        <v>3125</v>
      </c>
      <c r="C17" s="1">
        <f t="shared" si="0"/>
        <v>3793.75</v>
      </c>
      <c r="D17" s="1">
        <f t="shared" si="1"/>
        <v>0.82372322899505768</v>
      </c>
    </row>
    <row r="18" spans="1:9" x14ac:dyDescent="0.3">
      <c r="A18" s="30">
        <v>15</v>
      </c>
      <c r="B18" s="1">
        <v>4125</v>
      </c>
      <c r="C18" s="1">
        <f t="shared" si="0"/>
        <v>3350</v>
      </c>
      <c r="D18" s="1">
        <f t="shared" si="1"/>
        <v>1.2313432835820894</v>
      </c>
    </row>
    <row r="19" spans="1:9" x14ac:dyDescent="0.3">
      <c r="A19" s="30">
        <v>16</v>
      </c>
      <c r="B19" s="1">
        <v>3000</v>
      </c>
      <c r="C19" s="1">
        <f t="shared" si="0"/>
        <v>3093.75</v>
      </c>
      <c r="D19" s="1">
        <f t="shared" si="1"/>
        <v>0.96969696969696972</v>
      </c>
    </row>
    <row r="20" spans="1:9" x14ac:dyDescent="0.3">
      <c r="A20" s="30">
        <v>17</v>
      </c>
      <c r="B20" s="1">
        <v>2500</v>
      </c>
      <c r="C20" s="1">
        <f t="shared" si="0"/>
        <v>2750</v>
      </c>
      <c r="D20" s="1">
        <f t="shared" si="1"/>
        <v>0.90909090909090906</v>
      </c>
    </row>
    <row r="21" spans="1:9" x14ac:dyDescent="0.3">
      <c r="A21" s="30">
        <v>18</v>
      </c>
      <c r="B21" s="1">
        <v>2375</v>
      </c>
      <c r="C21" s="1">
        <f t="shared" si="0"/>
        <v>2343.75</v>
      </c>
      <c r="D21" s="1">
        <f t="shared" si="1"/>
        <v>1.0133333333333334</v>
      </c>
    </row>
    <row r="22" spans="1:9" x14ac:dyDescent="0.3">
      <c r="A22" s="30">
        <v>19</v>
      </c>
      <c r="B22" s="1">
        <v>2125</v>
      </c>
      <c r="C22" s="1">
        <f t="shared" si="0"/>
        <v>2328.125</v>
      </c>
      <c r="D22" s="1">
        <f t="shared" si="1"/>
        <v>0.91275167785234901</v>
      </c>
    </row>
    <row r="23" spans="1:9" x14ac:dyDescent="0.3">
      <c r="A23" s="30">
        <v>20</v>
      </c>
      <c r="B23" s="1">
        <v>1750</v>
      </c>
      <c r="C23" s="1">
        <f t="shared" si="0"/>
        <v>2781.25</v>
      </c>
      <c r="D23" s="1">
        <f t="shared" si="1"/>
        <v>0.6292134831460674</v>
      </c>
    </row>
    <row r="24" spans="1:9" x14ac:dyDescent="0.3">
      <c r="A24" s="30">
        <v>21</v>
      </c>
      <c r="B24" s="1">
        <v>3625</v>
      </c>
      <c r="C24" s="1">
        <f t="shared" si="0"/>
        <v>3453.125</v>
      </c>
      <c r="D24" s="1">
        <f t="shared" si="1"/>
        <v>1.0497737556561086</v>
      </c>
    </row>
    <row r="25" spans="1:9" x14ac:dyDescent="0.3">
      <c r="A25" s="30">
        <v>22</v>
      </c>
      <c r="B25" s="1">
        <v>4875</v>
      </c>
      <c r="C25" s="1">
        <f t="shared" si="0"/>
        <v>4234.375</v>
      </c>
      <c r="D25" s="1">
        <f t="shared" si="1"/>
        <v>1.1512915129151291</v>
      </c>
    </row>
    <row r="26" spans="1:9" x14ac:dyDescent="0.3">
      <c r="A26" s="30">
        <v>23</v>
      </c>
      <c r="B26" s="1">
        <v>5000</v>
      </c>
      <c r="C26" s="1">
        <f t="shared" si="0"/>
        <v>4693.125</v>
      </c>
      <c r="D26" s="1">
        <f t="shared" si="1"/>
        <v>1.0653882008256759</v>
      </c>
    </row>
    <row r="27" spans="1:9" x14ac:dyDescent="0.3">
      <c r="A27" s="30">
        <v>24</v>
      </c>
      <c r="B27" s="1">
        <v>5125</v>
      </c>
      <c r="C27" s="1">
        <f t="shared" si="0"/>
        <v>4523.75</v>
      </c>
      <c r="D27" s="1">
        <f t="shared" si="1"/>
        <v>1.1329096435479413</v>
      </c>
    </row>
    <row r="28" spans="1:9" x14ac:dyDescent="0.3">
      <c r="A28" s="30">
        <v>25</v>
      </c>
      <c r="B28" s="1">
        <v>3920</v>
      </c>
      <c r="C28" s="1">
        <f t="shared" si="0"/>
        <v>4230</v>
      </c>
      <c r="D28" s="1">
        <f t="shared" si="1"/>
        <v>0.92671394799054374</v>
      </c>
      <c r="F28" s="5" t="s">
        <v>43</v>
      </c>
      <c r="G28" s="1" t="s">
        <v>50</v>
      </c>
      <c r="H28" s="1" t="s">
        <v>51</v>
      </c>
      <c r="I28" s="32" t="s">
        <v>42</v>
      </c>
    </row>
    <row r="29" spans="1:9" x14ac:dyDescent="0.3">
      <c r="A29" s="30">
        <v>26</v>
      </c>
      <c r="B29" s="1">
        <v>3225</v>
      </c>
      <c r="C29" s="1">
        <f t="shared" si="0"/>
        <v>3878.125</v>
      </c>
      <c r="D29" s="1">
        <f t="shared" si="1"/>
        <v>0.83158742949234488</v>
      </c>
      <c r="F29" s="5">
        <v>37</v>
      </c>
      <c r="G29" s="1">
        <f>F29*10.855+3171.4</f>
        <v>3573.0349999999999</v>
      </c>
      <c r="H29" s="1">
        <f>(D16+D28)/2</f>
        <v>0.92084380619993711</v>
      </c>
      <c r="I29" s="32">
        <f>ROUND(G29*H29,0)</f>
        <v>3290</v>
      </c>
    </row>
    <row r="30" spans="1:9" x14ac:dyDescent="0.3">
      <c r="A30" s="30">
        <v>27</v>
      </c>
      <c r="B30" s="1">
        <v>4300</v>
      </c>
      <c r="C30" s="1">
        <f t="shared" si="0"/>
        <v>3446.25</v>
      </c>
      <c r="D30" s="1">
        <f t="shared" si="1"/>
        <v>1.2477330431628582</v>
      </c>
      <c r="F30" s="5">
        <v>38</v>
      </c>
      <c r="G30" s="1">
        <f t="shared" ref="G30:G40" si="2">F30*10.855+3171.4</f>
        <v>3583.8900000000003</v>
      </c>
      <c r="H30" s="1">
        <f>(D17+D29)/2</f>
        <v>0.82765532924370122</v>
      </c>
      <c r="I30" s="32">
        <f t="shared" ref="I30:I40" si="3">ROUND(G30*H30,0)</f>
        <v>2966</v>
      </c>
    </row>
    <row r="31" spans="1:9" x14ac:dyDescent="0.3">
      <c r="A31" s="30">
        <v>28</v>
      </c>
      <c r="B31" s="1">
        <v>3010</v>
      </c>
      <c r="C31" s="1">
        <f t="shared" si="0"/>
        <v>3181.875</v>
      </c>
      <c r="D31" s="1">
        <f t="shared" si="1"/>
        <v>0.94598310744450997</v>
      </c>
      <c r="F31" s="5">
        <v>39</v>
      </c>
      <c r="G31" s="1">
        <f t="shared" si="2"/>
        <v>3594.7449999999999</v>
      </c>
      <c r="H31" s="1">
        <f>(D6+D18+D30)/3</f>
        <v>1.2366151858380594</v>
      </c>
      <c r="I31" s="32">
        <f t="shared" si="3"/>
        <v>4445</v>
      </c>
    </row>
    <row r="32" spans="1:9" x14ac:dyDescent="0.3">
      <c r="A32" s="30">
        <v>29</v>
      </c>
      <c r="B32" s="1">
        <v>2580</v>
      </c>
      <c r="C32" s="1">
        <f t="shared" si="0"/>
        <v>2835</v>
      </c>
      <c r="D32" s="1">
        <f t="shared" si="1"/>
        <v>0.91005291005291</v>
      </c>
      <c r="F32" s="5">
        <v>40</v>
      </c>
      <c r="G32" s="1">
        <f t="shared" si="2"/>
        <v>3605.6000000000004</v>
      </c>
      <c r="H32" s="1">
        <f t="shared" ref="H32:H38" si="4">(D7+D19+D31)/3</f>
        <v>1.0010195726393929</v>
      </c>
      <c r="I32" s="32">
        <f t="shared" si="3"/>
        <v>3609</v>
      </c>
    </row>
    <row r="33" spans="1:9" x14ac:dyDescent="0.3">
      <c r="A33" s="30">
        <v>30</v>
      </c>
      <c r="B33" s="1">
        <v>2450</v>
      </c>
      <c r="C33" s="1">
        <f t="shared" si="0"/>
        <v>2445</v>
      </c>
      <c r="D33" s="1">
        <f t="shared" si="1"/>
        <v>1.0020449897750512</v>
      </c>
      <c r="F33" s="5">
        <v>41</v>
      </c>
      <c r="G33" s="1">
        <f t="shared" si="2"/>
        <v>3616.4549999999999</v>
      </c>
      <c r="H33" s="1">
        <f t="shared" si="4"/>
        <v>0.88174359188851936</v>
      </c>
      <c r="I33" s="32">
        <f t="shared" si="3"/>
        <v>3189</v>
      </c>
    </row>
    <row r="34" spans="1:9" x14ac:dyDescent="0.3">
      <c r="A34" s="30">
        <v>31</v>
      </c>
      <c r="B34" s="1">
        <v>2300</v>
      </c>
      <c r="C34" s="1">
        <f t="shared" si="0"/>
        <v>2468.75</v>
      </c>
      <c r="D34" s="1">
        <f t="shared" si="1"/>
        <v>0.93164556962025313</v>
      </c>
      <c r="F34" s="5">
        <v>42</v>
      </c>
      <c r="G34" s="1">
        <f t="shared" si="2"/>
        <v>3627.31</v>
      </c>
      <c r="H34" s="1">
        <f t="shared" si="4"/>
        <v>1.0249936573716691</v>
      </c>
      <c r="I34" s="32">
        <f t="shared" si="3"/>
        <v>3718</v>
      </c>
    </row>
    <row r="35" spans="1:9" x14ac:dyDescent="0.3">
      <c r="A35" s="30">
        <v>32</v>
      </c>
      <c r="B35" s="1">
        <v>1890</v>
      </c>
      <c r="C35" s="1">
        <f t="shared" si="0"/>
        <v>2957.5</v>
      </c>
      <c r="D35" s="1">
        <f t="shared" si="1"/>
        <v>0.63905325443786987</v>
      </c>
      <c r="F35" s="5">
        <v>43</v>
      </c>
      <c r="G35" s="1">
        <f t="shared" si="2"/>
        <v>3638.165</v>
      </c>
      <c r="H35" s="1">
        <f t="shared" si="4"/>
        <v>0.91316738085916571</v>
      </c>
      <c r="I35" s="32">
        <f t="shared" si="3"/>
        <v>3322</v>
      </c>
    </row>
    <row r="36" spans="1:9" x14ac:dyDescent="0.3">
      <c r="A36" s="30">
        <v>33</v>
      </c>
      <c r="B36" s="1">
        <v>3890</v>
      </c>
      <c r="C36" s="1">
        <f t="shared" si="0"/>
        <v>3665</v>
      </c>
      <c r="D36" s="1">
        <f t="shared" si="1"/>
        <v>1.0613915416098227</v>
      </c>
      <c r="F36" s="5">
        <v>44</v>
      </c>
      <c r="G36" s="1">
        <f t="shared" si="2"/>
        <v>3649.02</v>
      </c>
      <c r="H36" s="1">
        <f t="shared" si="4"/>
        <v>0.63159092056010768</v>
      </c>
      <c r="I36" s="32">
        <f t="shared" si="3"/>
        <v>2305</v>
      </c>
    </row>
    <row r="37" spans="1:9" x14ac:dyDescent="0.3">
      <c r="A37" s="30">
        <v>34</v>
      </c>
      <c r="B37" s="1">
        <v>5050</v>
      </c>
      <c r="C37" s="1">
        <f t="shared" si="0"/>
        <v>4488.75</v>
      </c>
      <c r="D37" s="1">
        <f t="shared" si="1"/>
        <v>1.1250348092453355</v>
      </c>
      <c r="F37" s="5">
        <v>45</v>
      </c>
      <c r="G37" s="1">
        <f t="shared" si="2"/>
        <v>3659.875</v>
      </c>
      <c r="H37" s="1">
        <f t="shared" si="4"/>
        <v>1.0435910468010621</v>
      </c>
      <c r="I37" s="32">
        <f t="shared" si="3"/>
        <v>3819</v>
      </c>
    </row>
    <row r="38" spans="1:9" x14ac:dyDescent="0.3">
      <c r="A38" s="30">
        <v>35</v>
      </c>
      <c r="B38" s="1">
        <v>5360</v>
      </c>
      <c r="C38" s="1"/>
      <c r="F38" s="5">
        <v>46</v>
      </c>
      <c r="G38" s="1">
        <f t="shared" si="2"/>
        <v>3670.73</v>
      </c>
      <c r="H38" s="1">
        <f t="shared" si="4"/>
        <v>1.1352460289554489</v>
      </c>
      <c r="I38" s="32">
        <f t="shared" si="3"/>
        <v>4167</v>
      </c>
    </row>
    <row r="39" spans="1:9" x14ac:dyDescent="0.3">
      <c r="A39" s="30">
        <v>36</v>
      </c>
      <c r="B39" s="1">
        <v>5420</v>
      </c>
      <c r="C39" s="1"/>
      <c r="F39" s="5">
        <v>47</v>
      </c>
      <c r="G39" s="1">
        <f t="shared" si="2"/>
        <v>3681.585</v>
      </c>
      <c r="H39" s="1">
        <f>(D14+D26)/2</f>
        <v>1.0597398701770544</v>
      </c>
      <c r="I39" s="32">
        <f t="shared" si="3"/>
        <v>3902</v>
      </c>
    </row>
    <row r="40" spans="1:9" x14ac:dyDescent="0.3">
      <c r="F40" s="5">
        <v>48</v>
      </c>
      <c r="G40" s="1">
        <f t="shared" si="2"/>
        <v>3692.44</v>
      </c>
      <c r="H40" s="1">
        <f>(D15+D27)/2</f>
        <v>1.1626223164510465</v>
      </c>
      <c r="I40" s="32">
        <f t="shared" si="3"/>
        <v>4293</v>
      </c>
    </row>
  </sheetData>
  <mergeCells count="1">
    <mergeCell ref="A1:L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B1B57-B0C1-42D8-8AF6-8D297655EBEF}">
  <dimension ref="A2:H34"/>
  <sheetViews>
    <sheetView showGridLines="0" workbookViewId="0">
      <selection activeCell="J25" sqref="J25"/>
    </sheetView>
  </sheetViews>
  <sheetFormatPr baseColWidth="10" defaultRowHeight="14.4" x14ac:dyDescent="0.3"/>
  <cols>
    <col min="1" max="1" width="24.44140625" customWidth="1"/>
    <col min="2" max="3" width="15.44140625" bestFit="1" customWidth="1"/>
    <col min="4" max="4" width="25" customWidth="1"/>
    <col min="5" max="5" width="18.109375" customWidth="1"/>
    <col min="6" max="6" width="19.33203125" bestFit="1" customWidth="1"/>
    <col min="8" max="8" width="13.88671875" bestFit="1" customWidth="1"/>
  </cols>
  <sheetData>
    <row r="2" spans="1:8" x14ac:dyDescent="0.3">
      <c r="A2" s="77" t="s">
        <v>33</v>
      </c>
      <c r="B2" s="77"/>
      <c r="C2" s="77"/>
      <c r="D2" s="77"/>
      <c r="E2" s="77"/>
      <c r="F2" s="6" t="s">
        <v>58</v>
      </c>
      <c r="G2" s="7">
        <v>0.1</v>
      </c>
    </row>
    <row r="3" spans="1:8" x14ac:dyDescent="0.3">
      <c r="A3" s="1"/>
      <c r="B3" s="5" t="s">
        <v>59</v>
      </c>
      <c r="C3" s="5" t="s">
        <v>60</v>
      </c>
      <c r="D3" s="5" t="s">
        <v>61</v>
      </c>
      <c r="E3" s="5" t="s">
        <v>62</v>
      </c>
      <c r="F3" s="6" t="s">
        <v>63</v>
      </c>
      <c r="G3" s="7">
        <v>0.55000000000000004</v>
      </c>
    </row>
    <row r="4" spans="1:8" x14ac:dyDescent="0.3">
      <c r="A4" s="1" t="s">
        <v>14</v>
      </c>
      <c r="B4" s="5">
        <v>3700</v>
      </c>
      <c r="C4" s="5">
        <f>B4*0.9</f>
        <v>3330</v>
      </c>
      <c r="D4" s="5">
        <f>C4*0.9</f>
        <v>2997</v>
      </c>
      <c r="E4" s="5">
        <f>D4</f>
        <v>2997</v>
      </c>
      <c r="F4" s="6" t="s">
        <v>64</v>
      </c>
      <c r="G4" s="7">
        <v>0.35</v>
      </c>
    </row>
    <row r="5" spans="1:8" x14ac:dyDescent="0.3">
      <c r="A5" s="1" t="s">
        <v>15</v>
      </c>
      <c r="B5" s="34">
        <v>520</v>
      </c>
      <c r="C5" s="34">
        <v>520</v>
      </c>
      <c r="D5" s="34">
        <v>520</v>
      </c>
      <c r="E5" s="34">
        <f>D5*0.95</f>
        <v>494</v>
      </c>
    </row>
    <row r="6" spans="1:8" x14ac:dyDescent="0.3">
      <c r="A6" s="1" t="s">
        <v>16</v>
      </c>
      <c r="B6" s="35">
        <f t="shared" ref="B6:E6" si="0">B4*B5</f>
        <v>1924000</v>
      </c>
      <c r="C6" s="35">
        <f t="shared" si="0"/>
        <v>1731600</v>
      </c>
      <c r="D6" s="35">
        <f t="shared" si="0"/>
        <v>1558440</v>
      </c>
      <c r="E6" s="35">
        <f t="shared" si="0"/>
        <v>1480518</v>
      </c>
      <c r="H6" s="8"/>
    </row>
    <row r="7" spans="1:8" x14ac:dyDescent="0.3">
      <c r="A7" s="9" t="s">
        <v>17</v>
      </c>
      <c r="B7" s="36">
        <f t="shared" ref="B7:E7" si="1">B6*1.2</f>
        <v>2308800</v>
      </c>
      <c r="C7" s="37">
        <f t="shared" si="1"/>
        <v>2077920</v>
      </c>
      <c r="D7" s="38">
        <f t="shared" si="1"/>
        <v>1870128</v>
      </c>
      <c r="E7" s="39">
        <f t="shared" si="1"/>
        <v>1776621.5999999999</v>
      </c>
    </row>
    <row r="8" spans="1:8" x14ac:dyDescent="0.3">
      <c r="A8" s="10"/>
      <c r="B8" s="11"/>
      <c r="C8" s="11"/>
      <c r="D8" s="11"/>
      <c r="E8" s="11"/>
    </row>
    <row r="9" spans="1:8" x14ac:dyDescent="0.3">
      <c r="A9" s="10"/>
      <c r="B9" s="11"/>
      <c r="C9" s="11"/>
      <c r="D9" s="11"/>
      <c r="E9" s="11"/>
    </row>
    <row r="11" spans="1:8" x14ac:dyDescent="0.3">
      <c r="A11" s="77" t="s">
        <v>65</v>
      </c>
      <c r="B11" s="77"/>
      <c r="C11" s="77"/>
      <c r="D11" s="77"/>
      <c r="E11" s="77"/>
      <c r="F11" s="77"/>
    </row>
    <row r="12" spans="1:8" x14ac:dyDescent="0.3">
      <c r="A12" s="12"/>
      <c r="B12" s="5" t="s">
        <v>59</v>
      </c>
      <c r="C12" s="5" t="s">
        <v>60</v>
      </c>
      <c r="D12" s="5" t="s">
        <v>61</v>
      </c>
      <c r="E12" s="5" t="s">
        <v>62</v>
      </c>
      <c r="F12" s="5" t="s">
        <v>18</v>
      </c>
    </row>
    <row r="13" spans="1:8" x14ac:dyDescent="0.3">
      <c r="A13" s="13" t="s">
        <v>19</v>
      </c>
      <c r="B13" s="40">
        <f>875000+B31</f>
        <v>2247800</v>
      </c>
      <c r="C13" s="40">
        <f>B32</f>
        <v>873600</v>
      </c>
      <c r="D13" s="41"/>
      <c r="E13" s="41"/>
      <c r="F13" s="41"/>
    </row>
    <row r="14" spans="1:8" x14ac:dyDescent="0.3">
      <c r="A14" s="12" t="s">
        <v>20</v>
      </c>
      <c r="B14" s="42">
        <f>$B$7*0.1</f>
        <v>230880</v>
      </c>
      <c r="C14" s="42">
        <f>$B$7*0.55</f>
        <v>1269840</v>
      </c>
      <c r="D14" s="42">
        <f>$B$7*0.35</f>
        <v>808080</v>
      </c>
      <c r="E14" s="14"/>
      <c r="F14" s="41"/>
    </row>
    <row r="15" spans="1:8" x14ac:dyDescent="0.3">
      <c r="A15" s="12" t="s">
        <v>21</v>
      </c>
      <c r="B15" s="41"/>
      <c r="C15" s="43">
        <f>$C$7*0.1</f>
        <v>207792</v>
      </c>
      <c r="D15" s="43">
        <f>$C$7*0.55</f>
        <v>1142856</v>
      </c>
      <c r="E15" s="43">
        <f>$C$7*0.35</f>
        <v>727272</v>
      </c>
      <c r="F15" s="41"/>
    </row>
    <row r="16" spans="1:8" x14ac:dyDescent="0.3">
      <c r="A16" s="12" t="s">
        <v>22</v>
      </c>
      <c r="B16" s="41"/>
      <c r="C16" s="41"/>
      <c r="D16" s="44">
        <f>$D$7*0.1</f>
        <v>187012.80000000002</v>
      </c>
      <c r="E16" s="44">
        <f>$D$7*0.55</f>
        <v>1028570.4000000001</v>
      </c>
      <c r="F16" s="44">
        <f>$D$7*0.35</f>
        <v>654544.79999999993</v>
      </c>
    </row>
    <row r="17" spans="1:8" x14ac:dyDescent="0.3">
      <c r="A17" s="12" t="s">
        <v>23</v>
      </c>
      <c r="B17" s="41"/>
      <c r="C17" s="41"/>
      <c r="D17" s="14"/>
      <c r="E17" s="45">
        <f>$E$7*0.1</f>
        <v>177662.16</v>
      </c>
      <c r="F17" s="45">
        <f>$E$7*0.9</f>
        <v>1598959.44</v>
      </c>
    </row>
    <row r="18" spans="1:8" x14ac:dyDescent="0.3">
      <c r="A18" s="12" t="s">
        <v>24</v>
      </c>
      <c r="B18" s="46">
        <f>SUM(B13:B17)</f>
        <v>2478680</v>
      </c>
      <c r="C18" s="46">
        <f t="shared" ref="C18:F18" si="2">SUM(C13:C17)</f>
        <v>2351232</v>
      </c>
      <c r="D18" s="46">
        <f t="shared" si="2"/>
        <v>2137948.7999999998</v>
      </c>
      <c r="E18" s="46">
        <f t="shared" si="2"/>
        <v>1933504.56</v>
      </c>
      <c r="F18" s="46">
        <f t="shared" si="2"/>
        <v>2253504.2399999998</v>
      </c>
      <c r="H18" s="8"/>
    </row>
    <row r="19" spans="1:8" x14ac:dyDescent="0.3">
      <c r="A19" s="15"/>
      <c r="B19" s="16"/>
      <c r="C19" s="16"/>
      <c r="D19" s="16"/>
      <c r="E19" s="16"/>
      <c r="F19" s="16"/>
      <c r="H19" s="8"/>
    </row>
    <row r="20" spans="1:8" x14ac:dyDescent="0.3">
      <c r="A20" s="15"/>
      <c r="B20" s="16"/>
      <c r="C20" s="16"/>
      <c r="D20" s="16"/>
      <c r="E20" s="16"/>
      <c r="F20" s="16"/>
      <c r="H20" s="8"/>
    </row>
    <row r="21" spans="1:8" x14ac:dyDescent="0.3">
      <c r="A21" s="15"/>
      <c r="B21" s="16"/>
      <c r="C21" s="16"/>
      <c r="D21" s="16"/>
      <c r="E21" s="16"/>
      <c r="F21" s="16"/>
      <c r="H21" s="8"/>
    </row>
    <row r="22" spans="1:8" x14ac:dyDescent="0.3">
      <c r="A22" s="15"/>
      <c r="B22" s="16"/>
      <c r="C22" s="16"/>
      <c r="D22" s="16"/>
      <c r="E22" s="16"/>
      <c r="F22" s="16"/>
      <c r="H22" s="8"/>
    </row>
    <row r="23" spans="1:8" x14ac:dyDescent="0.3">
      <c r="A23" s="15"/>
      <c r="B23" s="16"/>
      <c r="C23" s="16"/>
      <c r="D23" s="16"/>
      <c r="E23" s="16"/>
      <c r="F23" s="16"/>
      <c r="H23" s="8"/>
    </row>
    <row r="24" spans="1:8" x14ac:dyDescent="0.3">
      <c r="A24" s="15"/>
      <c r="B24" s="16"/>
      <c r="C24" s="16"/>
      <c r="D24" s="16"/>
      <c r="E24" s="16"/>
      <c r="F24" s="16"/>
      <c r="H24" s="8"/>
    </row>
    <row r="25" spans="1:8" x14ac:dyDescent="0.3">
      <c r="A25" s="15"/>
      <c r="B25" s="16"/>
      <c r="C25" s="16"/>
      <c r="D25" s="16"/>
      <c r="E25" s="16"/>
      <c r="F25" s="16"/>
      <c r="H25" s="8"/>
    </row>
    <row r="26" spans="1:8" x14ac:dyDescent="0.3">
      <c r="A26" s="15"/>
      <c r="B26" s="16"/>
      <c r="C26" s="16"/>
      <c r="D26" s="16"/>
      <c r="E26" s="16"/>
      <c r="F26" s="16"/>
      <c r="H26" s="8"/>
    </row>
    <row r="28" spans="1:8" ht="28.8" x14ac:dyDescent="0.3">
      <c r="A28" s="17" t="s">
        <v>25</v>
      </c>
      <c r="B28" s="18">
        <f>2500000*0.35</f>
        <v>875000</v>
      </c>
    </row>
    <row r="30" spans="1:8" x14ac:dyDescent="0.3">
      <c r="A30" s="78" t="s">
        <v>26</v>
      </c>
      <c r="B30" s="78"/>
      <c r="D30" s="19" t="s">
        <v>27</v>
      </c>
      <c r="E30" s="20">
        <f>2246400/0.9</f>
        <v>2496000</v>
      </c>
    </row>
    <row r="31" spans="1:8" x14ac:dyDescent="0.3">
      <c r="A31" s="18" t="s">
        <v>28</v>
      </c>
      <c r="B31" s="18">
        <f>+E30*0.55</f>
        <v>1372800</v>
      </c>
    </row>
    <row r="32" spans="1:8" x14ac:dyDescent="0.3">
      <c r="A32" s="18" t="s">
        <v>29</v>
      </c>
      <c r="B32" s="18">
        <f>B31/0.55*0.35</f>
        <v>873600</v>
      </c>
      <c r="D32" s="19" t="s">
        <v>30</v>
      </c>
      <c r="E32" s="21">
        <f>E30*0.1</f>
        <v>249600</v>
      </c>
    </row>
    <row r="33" spans="1:5" x14ac:dyDescent="0.3">
      <c r="A33" s="18" t="s">
        <v>24</v>
      </c>
      <c r="B33" s="18">
        <f>B31+B32</f>
        <v>2246400</v>
      </c>
      <c r="D33" t="s">
        <v>31</v>
      </c>
      <c r="E33" s="21">
        <f>E30*0.55</f>
        <v>1372800</v>
      </c>
    </row>
    <row r="34" spans="1:5" x14ac:dyDescent="0.3">
      <c r="D34" s="19" t="s">
        <v>32</v>
      </c>
      <c r="E34" s="21">
        <f>E30*0.35</f>
        <v>873600</v>
      </c>
    </row>
  </sheetData>
  <mergeCells count="3">
    <mergeCell ref="A2:E2"/>
    <mergeCell ref="A30:B30"/>
    <mergeCell ref="A11:F11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D7122-EFB8-455C-8531-DC306CDA422C}">
  <dimension ref="A1:S50"/>
  <sheetViews>
    <sheetView topLeftCell="B28" workbookViewId="0">
      <selection activeCell="K16" sqref="K16"/>
    </sheetView>
  </sheetViews>
  <sheetFormatPr baseColWidth="10" defaultRowHeight="14.4" x14ac:dyDescent="0.3"/>
  <cols>
    <col min="1" max="1" width="6.5546875" customWidth="1"/>
    <col min="2" max="2" width="8.6640625" customWidth="1"/>
    <col min="3" max="4" width="4.5546875" customWidth="1"/>
    <col min="5" max="5" width="24.5546875" customWidth="1"/>
    <col min="6" max="6" width="15.44140625" bestFit="1" customWidth="1"/>
    <col min="7" max="7" width="20.109375" customWidth="1"/>
    <col min="8" max="17" width="15.44140625" bestFit="1" customWidth="1"/>
    <col min="18" max="18" width="15.33203125" bestFit="1" customWidth="1"/>
    <col min="19" max="19" width="12.5546875" bestFit="1" customWidth="1"/>
  </cols>
  <sheetData>
    <row r="1" spans="1:17" x14ac:dyDescent="0.3">
      <c r="J1" s="47"/>
      <c r="P1" s="47"/>
    </row>
    <row r="2" spans="1:17" x14ac:dyDescent="0.3">
      <c r="A2" s="2" t="s">
        <v>13</v>
      </c>
      <c r="B2" s="2" t="s">
        <v>12</v>
      </c>
      <c r="E2" s="74" t="s">
        <v>66</v>
      </c>
      <c r="F2" s="74"/>
    </row>
    <row r="3" spans="1:17" x14ac:dyDescent="0.3">
      <c r="A3" s="5">
        <v>1</v>
      </c>
      <c r="B3" s="5">
        <v>3580</v>
      </c>
      <c r="E3" s="5">
        <v>1</v>
      </c>
      <c r="F3" s="48">
        <v>300</v>
      </c>
    </row>
    <row r="4" spans="1:17" x14ac:dyDescent="0.3">
      <c r="A4" s="5">
        <v>2</v>
      </c>
      <c r="B4" s="5">
        <v>5283</v>
      </c>
      <c r="E4" s="5">
        <v>2</v>
      </c>
      <c r="F4" s="49">
        <f>F3*1.02</f>
        <v>306</v>
      </c>
    </row>
    <row r="5" spans="1:17" x14ac:dyDescent="0.3">
      <c r="A5" s="5">
        <v>3</v>
      </c>
      <c r="B5" s="5">
        <v>7344</v>
      </c>
      <c r="E5" s="5">
        <v>3</v>
      </c>
      <c r="F5" s="49">
        <f>F4*0.95</f>
        <v>290.7</v>
      </c>
      <c r="Q5" s="50"/>
    </row>
    <row r="6" spans="1:17" x14ac:dyDescent="0.3">
      <c r="A6" s="5">
        <v>4</v>
      </c>
      <c r="B6" s="5">
        <v>4029</v>
      </c>
      <c r="E6" s="5">
        <v>4</v>
      </c>
      <c r="F6" s="49">
        <f>F5*1.01</f>
        <v>293.60699999999997</v>
      </c>
      <c r="Q6" s="50"/>
    </row>
    <row r="7" spans="1:17" x14ac:dyDescent="0.3">
      <c r="A7" s="5">
        <v>5</v>
      </c>
      <c r="B7" s="5">
        <v>6859</v>
      </c>
      <c r="Q7" s="50"/>
    </row>
    <row r="8" spans="1:17" x14ac:dyDescent="0.3">
      <c r="A8" s="5">
        <v>6</v>
      </c>
      <c r="B8" s="5">
        <v>5941</v>
      </c>
      <c r="Q8" s="50"/>
    </row>
    <row r="9" spans="1:17" x14ac:dyDescent="0.3">
      <c r="A9" s="5">
        <v>7</v>
      </c>
      <c r="B9" s="5">
        <v>7145</v>
      </c>
    </row>
    <row r="10" spans="1:17" x14ac:dyDescent="0.3">
      <c r="A10" s="5">
        <v>8</v>
      </c>
      <c r="B10" s="5">
        <v>5224</v>
      </c>
      <c r="E10" s="79" t="s">
        <v>33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</row>
    <row r="11" spans="1:17" x14ac:dyDescent="0.3">
      <c r="A11" s="5">
        <v>9</v>
      </c>
      <c r="B11" s="5">
        <v>4702</v>
      </c>
      <c r="E11" s="1"/>
      <c r="F11" s="1" t="s">
        <v>0</v>
      </c>
      <c r="G11" s="1" t="s">
        <v>1</v>
      </c>
      <c r="H11" s="1" t="s">
        <v>2</v>
      </c>
      <c r="I11" s="1" t="s">
        <v>3</v>
      </c>
      <c r="J11" s="1" t="s">
        <v>4</v>
      </c>
      <c r="K11" s="1" t="s">
        <v>5</v>
      </c>
      <c r="L11" s="1" t="s">
        <v>6</v>
      </c>
      <c r="M11" s="1" t="s">
        <v>7</v>
      </c>
      <c r="N11" s="1" t="s">
        <v>8</v>
      </c>
      <c r="O11" s="1" t="s">
        <v>9</v>
      </c>
      <c r="P11" s="1" t="s">
        <v>10</v>
      </c>
      <c r="Q11" s="1" t="s">
        <v>11</v>
      </c>
    </row>
    <row r="12" spans="1:17" x14ac:dyDescent="0.3">
      <c r="A12" s="5">
        <v>10</v>
      </c>
      <c r="B12" s="5">
        <v>5553</v>
      </c>
      <c r="E12" s="1" t="s">
        <v>16</v>
      </c>
      <c r="F12" s="51">
        <f>B3*F3</f>
        <v>1074000</v>
      </c>
      <c r="G12" s="51">
        <f>F3*B4</f>
        <v>1584900</v>
      </c>
      <c r="H12" s="51">
        <f>F3*B5</f>
        <v>2203200</v>
      </c>
      <c r="I12" s="51">
        <f>B6*F4</f>
        <v>1232874</v>
      </c>
      <c r="J12" s="51">
        <f>F4*B7</f>
        <v>2098854</v>
      </c>
      <c r="K12" s="51">
        <f>F4*B8</f>
        <v>1817946</v>
      </c>
      <c r="L12" s="51">
        <f>B9*F5</f>
        <v>2077051.5</v>
      </c>
      <c r="M12" s="51">
        <f>F5*B10</f>
        <v>1518616.8</v>
      </c>
      <c r="N12" s="51">
        <f>F5*B11</f>
        <v>1366871.4</v>
      </c>
      <c r="O12" s="51">
        <f>F6*B12</f>
        <v>1630399.6709999999</v>
      </c>
      <c r="P12" s="51">
        <f>F6*B13</f>
        <v>1761641.9999999998</v>
      </c>
      <c r="Q12" s="51">
        <f>F6*B14</f>
        <v>1013237.7569999999</v>
      </c>
    </row>
    <row r="13" spans="1:17" x14ac:dyDescent="0.3">
      <c r="A13" s="5">
        <v>11</v>
      </c>
      <c r="B13" s="5">
        <v>6000</v>
      </c>
    </row>
    <row r="14" spans="1:17" x14ac:dyDescent="0.3">
      <c r="A14" s="5">
        <v>12</v>
      </c>
      <c r="B14" s="5">
        <v>3451</v>
      </c>
    </row>
    <row r="16" spans="1:17" x14ac:dyDescent="0.3">
      <c r="E16" s="5" t="s">
        <v>67</v>
      </c>
      <c r="F16" s="52" t="s">
        <v>68</v>
      </c>
      <c r="G16" s="5" t="s">
        <v>69</v>
      </c>
      <c r="H16" s="5" t="s">
        <v>70</v>
      </c>
      <c r="I16" s="5" t="s">
        <v>71</v>
      </c>
    </row>
    <row r="17" spans="5:19" x14ac:dyDescent="0.3">
      <c r="E17" s="1" t="s">
        <v>72</v>
      </c>
      <c r="F17" s="53">
        <v>0.2</v>
      </c>
      <c r="G17" s="53">
        <v>1</v>
      </c>
      <c r="H17" s="1"/>
      <c r="I17" s="1"/>
    </row>
    <row r="18" spans="5:19" x14ac:dyDescent="0.3">
      <c r="E18" s="1" t="s">
        <v>73</v>
      </c>
      <c r="F18" s="53">
        <v>0.3</v>
      </c>
      <c r="G18" s="1"/>
      <c r="H18" s="54">
        <v>1</v>
      </c>
      <c r="I18" s="1"/>
    </row>
    <row r="19" spans="5:19" x14ac:dyDescent="0.3">
      <c r="E19" s="1" t="s">
        <v>74</v>
      </c>
      <c r="F19" s="53">
        <v>0.5</v>
      </c>
      <c r="G19" s="1"/>
      <c r="H19" s="54">
        <v>0.25</v>
      </c>
      <c r="I19" s="53">
        <v>0.75</v>
      </c>
    </row>
    <row r="20" spans="5:19" x14ac:dyDescent="0.3">
      <c r="F20" s="7"/>
      <c r="H20" s="7"/>
      <c r="I20" s="7"/>
    </row>
    <row r="21" spans="5:19" x14ac:dyDescent="0.3">
      <c r="F21" s="7"/>
      <c r="H21" s="7"/>
      <c r="I21" s="7"/>
    </row>
    <row r="22" spans="5:19" x14ac:dyDescent="0.3">
      <c r="F22" s="7"/>
      <c r="H22" s="7"/>
      <c r="I22" s="7"/>
    </row>
    <row r="25" spans="5:19" x14ac:dyDescent="0.3">
      <c r="E25" s="79" t="s">
        <v>34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5:19" x14ac:dyDescent="0.3">
      <c r="E26" s="1"/>
      <c r="F26" s="1" t="s">
        <v>0</v>
      </c>
      <c r="G26" s="1" t="s">
        <v>1</v>
      </c>
      <c r="H26" s="1" t="s">
        <v>2</v>
      </c>
      <c r="I26" s="1" t="s">
        <v>3</v>
      </c>
      <c r="J26" s="1" t="s">
        <v>4</v>
      </c>
      <c r="K26" s="1" t="s">
        <v>5</v>
      </c>
      <c r="L26" s="1" t="s">
        <v>6</v>
      </c>
      <c r="M26" s="1" t="s">
        <v>7</v>
      </c>
      <c r="N26" s="1" t="s">
        <v>8</v>
      </c>
      <c r="O26" s="1" t="s">
        <v>9</v>
      </c>
      <c r="P26" s="1" t="s">
        <v>10</v>
      </c>
      <c r="Q26" s="1" t="s">
        <v>11</v>
      </c>
    </row>
    <row r="27" spans="5:19" x14ac:dyDescent="0.3">
      <c r="E27" s="1" t="s">
        <v>72</v>
      </c>
      <c r="F27" s="55">
        <f>+F12*$F$17*1.2*$G$17</f>
        <v>257760</v>
      </c>
      <c r="G27" s="55">
        <f>+G12*1.2*F17</f>
        <v>380376</v>
      </c>
      <c r="H27" s="55">
        <f t="shared" ref="H27:R27" si="0">+H12*$F$17*1.2*$G$17</f>
        <v>528768</v>
      </c>
      <c r="I27" s="55">
        <f t="shared" si="0"/>
        <v>295889.76</v>
      </c>
      <c r="J27" s="55">
        <f t="shared" si="0"/>
        <v>503724.96</v>
      </c>
      <c r="K27" s="55">
        <f t="shared" si="0"/>
        <v>436307.04</v>
      </c>
      <c r="L27" s="55">
        <f t="shared" si="0"/>
        <v>498492.36000000004</v>
      </c>
      <c r="M27" s="55">
        <f t="shared" si="0"/>
        <v>364468.03200000006</v>
      </c>
      <c r="N27" s="55">
        <f t="shared" si="0"/>
        <v>328049.13599999994</v>
      </c>
      <c r="O27" s="55">
        <f t="shared" si="0"/>
        <v>391295.92103999999</v>
      </c>
      <c r="P27" s="55">
        <f t="shared" si="0"/>
        <v>422794.07999999996</v>
      </c>
      <c r="Q27" s="55">
        <f t="shared" si="0"/>
        <v>243177.06167999998</v>
      </c>
      <c r="R27" s="55">
        <f t="shared" si="0"/>
        <v>0</v>
      </c>
    </row>
    <row r="28" spans="5:19" x14ac:dyDescent="0.3">
      <c r="E28" s="1" t="s">
        <v>73</v>
      </c>
      <c r="F28" s="56">
        <f>F47</f>
        <v>637200</v>
      </c>
      <c r="G28" s="57">
        <f>+F12*$F$18*1.2*$H$18</f>
        <v>386640</v>
      </c>
      <c r="H28" s="55">
        <f t="shared" ref="H28:S28" si="1">+G12*$F$18*1.2*$H$18</f>
        <v>570564</v>
      </c>
      <c r="I28" s="55">
        <f t="shared" si="1"/>
        <v>793152</v>
      </c>
      <c r="J28" s="55">
        <f t="shared" si="1"/>
        <v>443834.64</v>
      </c>
      <c r="K28" s="55">
        <f t="shared" si="1"/>
        <v>755587.44</v>
      </c>
      <c r="L28" s="55">
        <f t="shared" si="1"/>
        <v>654460.55999999994</v>
      </c>
      <c r="M28" s="55">
        <f t="shared" si="1"/>
        <v>747738.53999999992</v>
      </c>
      <c r="N28" s="55">
        <f t="shared" si="1"/>
        <v>546702.04799999995</v>
      </c>
      <c r="O28" s="55">
        <f t="shared" si="1"/>
        <v>492073.70399999997</v>
      </c>
      <c r="P28" s="55">
        <f t="shared" si="1"/>
        <v>586943.88155999989</v>
      </c>
      <c r="Q28" s="55">
        <f t="shared" si="1"/>
        <v>634191.11999999976</v>
      </c>
      <c r="R28" s="55">
        <f t="shared" si="1"/>
        <v>364765.59251999989</v>
      </c>
      <c r="S28" s="55">
        <f t="shared" si="1"/>
        <v>0</v>
      </c>
    </row>
    <row r="29" spans="5:19" x14ac:dyDescent="0.3">
      <c r="E29" s="1" t="s">
        <v>74</v>
      </c>
      <c r="F29" s="58">
        <f>F43+F49</f>
        <v>1072800</v>
      </c>
      <c r="G29" s="59">
        <f>+F12*F19*1.2*$H$19+F50</f>
        <v>957600</v>
      </c>
      <c r="H29" s="60">
        <f>(F12*$F$19*1.2*$I$19)+(G12*$F$19*1.2*$H$19)</f>
        <v>721035</v>
      </c>
      <c r="I29" s="60">
        <f t="shared" ref="I29:S29" si="2">(G12*$F$19*1.2*$I$19)+(H12*$F$19*1.2*$H$19)</f>
        <v>1043685</v>
      </c>
      <c r="J29" s="60">
        <f t="shared" si="2"/>
        <v>1176371.1000000001</v>
      </c>
      <c r="K29" s="60">
        <f t="shared" si="2"/>
        <v>869621.4</v>
      </c>
      <c r="L29" s="60">
        <f t="shared" si="2"/>
        <v>1217176.2</v>
      </c>
      <c r="M29" s="60">
        <f t="shared" si="2"/>
        <v>1129633.4249999998</v>
      </c>
      <c r="N29" s="60">
        <f t="shared" si="2"/>
        <v>1162465.6949999998</v>
      </c>
      <c r="O29" s="60">
        <f t="shared" si="2"/>
        <v>888408.2699999999</v>
      </c>
      <c r="P29" s="60">
        <f t="shared" si="2"/>
        <v>859652.0806499999</v>
      </c>
      <c r="Q29" s="60">
        <f t="shared" si="2"/>
        <v>997926.15194999974</v>
      </c>
      <c r="R29" s="60">
        <f t="shared" si="2"/>
        <v>944724.56354999973</v>
      </c>
      <c r="S29" s="60">
        <f t="shared" si="2"/>
        <v>455956.99064999993</v>
      </c>
    </row>
    <row r="30" spans="5:19" x14ac:dyDescent="0.3">
      <c r="E30" s="61" t="s">
        <v>24</v>
      </c>
      <c r="F30" s="62">
        <f>SUM(F27:F29)</f>
        <v>1967760</v>
      </c>
      <c r="G30" s="62">
        <f t="shared" ref="G30:Q30" si="3">SUM(G27:G29)</f>
        <v>1724616</v>
      </c>
      <c r="H30" s="62">
        <f t="shared" si="3"/>
        <v>1820367</v>
      </c>
      <c r="I30" s="62">
        <f t="shared" si="3"/>
        <v>2132726.7599999998</v>
      </c>
      <c r="J30" s="62">
        <f t="shared" si="3"/>
        <v>2123930.7000000002</v>
      </c>
      <c r="K30" s="62">
        <f t="shared" si="3"/>
        <v>2061515.88</v>
      </c>
      <c r="L30" s="62">
        <f t="shared" si="3"/>
        <v>2370129.12</v>
      </c>
      <c r="M30" s="62">
        <f t="shared" si="3"/>
        <v>2241839.9969999995</v>
      </c>
      <c r="N30" s="62">
        <f t="shared" si="3"/>
        <v>2037216.8789999997</v>
      </c>
      <c r="O30" s="62">
        <f t="shared" si="3"/>
        <v>1771777.8950399999</v>
      </c>
      <c r="P30" s="62">
        <f t="shared" si="3"/>
        <v>1869390.0422099996</v>
      </c>
      <c r="Q30" s="62">
        <f t="shared" si="3"/>
        <v>1875294.3336299993</v>
      </c>
    </row>
    <row r="33" spans="1:18" x14ac:dyDescent="0.3">
      <c r="A33" s="80" t="s">
        <v>96</v>
      </c>
      <c r="B33" s="80"/>
      <c r="C33" s="80"/>
      <c r="D33" s="80"/>
      <c r="E33" s="80"/>
      <c r="F33" s="63" t="s">
        <v>75</v>
      </c>
      <c r="G33" s="64" t="s">
        <v>76</v>
      </c>
      <c r="R33" s="65"/>
    </row>
    <row r="34" spans="1:18" x14ac:dyDescent="0.3">
      <c r="A34" s="80" t="s">
        <v>97</v>
      </c>
      <c r="B34" s="80"/>
      <c r="C34" s="80"/>
      <c r="D34" s="80"/>
      <c r="E34" s="80"/>
      <c r="F34" s="66" t="s">
        <v>77</v>
      </c>
      <c r="G34" s="47" t="s">
        <v>78</v>
      </c>
      <c r="R34" s="65"/>
    </row>
    <row r="35" spans="1:18" x14ac:dyDescent="0.3">
      <c r="G35" s="47" t="s">
        <v>79</v>
      </c>
      <c r="R35" s="65"/>
    </row>
    <row r="36" spans="1:18" x14ac:dyDescent="0.3">
      <c r="B36" t="s">
        <v>80</v>
      </c>
      <c r="F36">
        <f>1699200/0.8</f>
        <v>2124000</v>
      </c>
    </row>
    <row r="37" spans="1:18" x14ac:dyDescent="0.3">
      <c r="F37" s="7">
        <v>0.2</v>
      </c>
      <c r="G37" t="s">
        <v>81</v>
      </c>
      <c r="H37">
        <f>F36*F37</f>
        <v>424800</v>
      </c>
      <c r="I37" t="s">
        <v>11</v>
      </c>
    </row>
    <row r="38" spans="1:18" x14ac:dyDescent="0.3">
      <c r="F38" s="7">
        <v>0.3</v>
      </c>
      <c r="G38" t="s">
        <v>82</v>
      </c>
      <c r="H38" s="24">
        <f>F38*F36</f>
        <v>637200</v>
      </c>
      <c r="I38" s="24" t="s">
        <v>0</v>
      </c>
    </row>
    <row r="39" spans="1:18" x14ac:dyDescent="0.3">
      <c r="F39" s="7">
        <v>0.5</v>
      </c>
      <c r="G39" t="s">
        <v>83</v>
      </c>
      <c r="H39">
        <f>F39*F36</f>
        <v>1062000</v>
      </c>
      <c r="I39" s="67" t="s">
        <v>84</v>
      </c>
      <c r="J39" t="s">
        <v>85</v>
      </c>
    </row>
    <row r="41" spans="1:18" x14ac:dyDescent="0.3">
      <c r="E41" t="s">
        <v>95</v>
      </c>
      <c r="G41" s="50">
        <f>F12*1.2*0.5*0.25</f>
        <v>161100</v>
      </c>
    </row>
    <row r="43" spans="1:18" x14ac:dyDescent="0.3">
      <c r="E43" s="68" t="s">
        <v>10</v>
      </c>
      <c r="F43" s="69">
        <f>5980*300*1.2*0.5*0.75</f>
        <v>807300</v>
      </c>
      <c r="G43" s="68" t="s">
        <v>86</v>
      </c>
      <c r="H43" s="68"/>
    </row>
    <row r="44" spans="1:18" x14ac:dyDescent="0.3">
      <c r="E44" s="68" t="s">
        <v>11</v>
      </c>
      <c r="F44" s="70">
        <v>1699200</v>
      </c>
      <c r="G44" s="68" t="s">
        <v>87</v>
      </c>
      <c r="H44" s="68"/>
    </row>
    <row r="45" spans="1:18" x14ac:dyDescent="0.3">
      <c r="F45" s="21">
        <f>F44/0.8</f>
        <v>2124000</v>
      </c>
      <c r="G45" t="s">
        <v>88</v>
      </c>
    </row>
    <row r="47" spans="1:18" x14ac:dyDescent="0.3">
      <c r="E47" t="s">
        <v>73</v>
      </c>
      <c r="F47" s="21">
        <f>F45*F18</f>
        <v>637200</v>
      </c>
      <c r="G47" t="s">
        <v>89</v>
      </c>
      <c r="I47" s="47" t="s">
        <v>90</v>
      </c>
    </row>
    <row r="48" spans="1:18" x14ac:dyDescent="0.3">
      <c r="E48" t="s">
        <v>74</v>
      </c>
      <c r="F48" s="21">
        <f>F45*F19</f>
        <v>1062000</v>
      </c>
      <c r="I48" s="47" t="s">
        <v>91</v>
      </c>
    </row>
    <row r="49" spans="6:9" x14ac:dyDescent="0.3">
      <c r="F49" s="71">
        <f>F48*H19</f>
        <v>265500</v>
      </c>
      <c r="G49" t="s">
        <v>89</v>
      </c>
      <c r="I49" s="47" t="s">
        <v>92</v>
      </c>
    </row>
    <row r="50" spans="6:9" x14ac:dyDescent="0.3">
      <c r="F50" s="72">
        <f>F48*I19</f>
        <v>796500</v>
      </c>
      <c r="G50" t="s">
        <v>93</v>
      </c>
      <c r="I50" s="47" t="s">
        <v>94</v>
      </c>
    </row>
  </sheetData>
  <mergeCells count="5">
    <mergeCell ref="E2:F2"/>
    <mergeCell ref="E10:Q10"/>
    <mergeCell ref="E25:Q25"/>
    <mergeCell ref="A33:E33"/>
    <mergeCell ref="A34:E34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E3491-E1A3-43DA-A2E8-A7408AB18F79}">
  <dimension ref="A1:P25"/>
  <sheetViews>
    <sheetView tabSelected="1" workbookViewId="0">
      <selection activeCell="P20" sqref="P20"/>
    </sheetView>
  </sheetViews>
  <sheetFormatPr baseColWidth="10" defaultRowHeight="14.4" x14ac:dyDescent="0.3"/>
  <cols>
    <col min="1" max="1" width="26.109375" customWidth="1"/>
    <col min="2" max="2" width="15" customWidth="1"/>
    <col min="3" max="3" width="13.5546875" customWidth="1"/>
    <col min="4" max="4" width="14.6640625" customWidth="1"/>
    <col min="5" max="13" width="13" bestFit="1" customWidth="1"/>
    <col min="14" max="14" width="17" customWidth="1"/>
    <col min="15" max="15" width="14" customWidth="1"/>
    <col min="16" max="16" width="17.88671875" customWidth="1"/>
    <col min="17" max="20" width="12.88671875" bestFit="1" customWidth="1"/>
    <col min="21" max="21" width="11.88671875" bestFit="1" customWidth="1"/>
    <col min="22" max="27" width="12.88671875" bestFit="1" customWidth="1"/>
    <col min="28" max="29" width="11.88671875" bestFit="1" customWidth="1"/>
  </cols>
  <sheetData>
    <row r="1" spans="1:16" x14ac:dyDescent="0.3">
      <c r="A1" s="81" t="s">
        <v>98</v>
      </c>
      <c r="B1" s="7">
        <v>0.4</v>
      </c>
      <c r="C1" t="s">
        <v>99</v>
      </c>
      <c r="E1" s="82">
        <f>65+2</f>
        <v>67</v>
      </c>
      <c r="F1" s="21"/>
    </row>
    <row r="2" spans="1:16" x14ac:dyDescent="0.3">
      <c r="A2" s="81" t="s">
        <v>100</v>
      </c>
      <c r="B2" s="7">
        <v>0.5</v>
      </c>
      <c r="C2" t="s">
        <v>101</v>
      </c>
      <c r="E2" s="82">
        <f>68+2</f>
        <v>70</v>
      </c>
    </row>
    <row r="3" spans="1:16" x14ac:dyDescent="0.3">
      <c r="A3" s="81" t="s">
        <v>102</v>
      </c>
      <c r="B3" s="7">
        <v>0.1</v>
      </c>
      <c r="C3" t="s">
        <v>103</v>
      </c>
      <c r="E3" s="82">
        <f>75+2</f>
        <v>77</v>
      </c>
    </row>
    <row r="4" spans="1:16" x14ac:dyDescent="0.3">
      <c r="A4" s="81"/>
      <c r="B4" s="7"/>
      <c r="D4" s="82"/>
    </row>
    <row r="5" spans="1:16" x14ac:dyDescent="0.3">
      <c r="A5" s="81"/>
      <c r="B5" s="7"/>
      <c r="D5" s="82"/>
    </row>
    <row r="6" spans="1:16" x14ac:dyDescent="0.3">
      <c r="A6" s="81"/>
      <c r="B6" s="83" t="s">
        <v>0</v>
      </c>
      <c r="C6" s="83" t="s">
        <v>1</v>
      </c>
      <c r="D6" s="83" t="s">
        <v>2</v>
      </c>
      <c r="E6" s="83" t="s">
        <v>3</v>
      </c>
      <c r="F6" s="83" t="s">
        <v>4</v>
      </c>
      <c r="G6" s="83" t="s">
        <v>5</v>
      </c>
      <c r="H6" s="83" t="s">
        <v>6</v>
      </c>
      <c r="I6" s="83" t="s">
        <v>7</v>
      </c>
      <c r="J6" s="83" t="s">
        <v>8</v>
      </c>
      <c r="K6" s="83" t="s">
        <v>9</v>
      </c>
      <c r="L6" s="83" t="s">
        <v>10</v>
      </c>
      <c r="M6" s="83" t="s">
        <v>11</v>
      </c>
    </row>
    <row r="7" spans="1:16" x14ac:dyDescent="0.3">
      <c r="A7" s="84" t="s">
        <v>104</v>
      </c>
      <c r="B7" s="85">
        <v>5050</v>
      </c>
      <c r="C7" s="85">
        <v>5680</v>
      </c>
      <c r="D7" s="85">
        <v>2710</v>
      </c>
      <c r="E7" s="85">
        <v>9930</v>
      </c>
      <c r="F7" s="85">
        <v>8490</v>
      </c>
      <c r="G7" s="85">
        <v>6500</v>
      </c>
      <c r="H7" s="85">
        <v>7800</v>
      </c>
      <c r="I7" s="85">
        <v>8260</v>
      </c>
      <c r="J7" s="85">
        <v>6780</v>
      </c>
      <c r="K7" s="85">
        <v>8580</v>
      </c>
      <c r="L7" s="85">
        <v>3750</v>
      </c>
      <c r="M7" s="85">
        <v>9280</v>
      </c>
    </row>
    <row r="8" spans="1:16" x14ac:dyDescent="0.3">
      <c r="A8" s="86" t="s">
        <v>98</v>
      </c>
      <c r="B8" s="87">
        <f>B7*$B$1*$E$1</f>
        <v>135340</v>
      </c>
      <c r="C8" s="87">
        <f t="shared" ref="C8:M8" si="0">C7*$B$1*$E$1</f>
        <v>152224</v>
      </c>
      <c r="D8" s="87">
        <f t="shared" si="0"/>
        <v>72628</v>
      </c>
      <c r="E8" s="87">
        <f t="shared" si="0"/>
        <v>266124</v>
      </c>
      <c r="F8" s="87">
        <f t="shared" si="0"/>
        <v>227532</v>
      </c>
      <c r="G8" s="87">
        <f t="shared" si="0"/>
        <v>174200</v>
      </c>
      <c r="H8" s="87">
        <f t="shared" si="0"/>
        <v>209040</v>
      </c>
      <c r="I8" s="87">
        <f t="shared" si="0"/>
        <v>221368</v>
      </c>
      <c r="J8" s="87">
        <f t="shared" si="0"/>
        <v>181704</v>
      </c>
      <c r="K8" s="87">
        <f t="shared" si="0"/>
        <v>229944</v>
      </c>
      <c r="L8" s="87">
        <f t="shared" si="0"/>
        <v>100500</v>
      </c>
      <c r="M8" s="87">
        <f t="shared" si="0"/>
        <v>248704</v>
      </c>
      <c r="N8" s="97">
        <f>SUM(B8:M8)*1.2</f>
        <v>2663169.6</v>
      </c>
      <c r="O8" s="88"/>
    </row>
    <row r="9" spans="1:16" x14ac:dyDescent="0.3">
      <c r="A9" s="86" t="s">
        <v>100</v>
      </c>
      <c r="B9" s="87">
        <f t="shared" ref="B9:M9" si="1">B7*$B$2*$E$2</f>
        <v>176750</v>
      </c>
      <c r="C9" s="87">
        <f t="shared" si="1"/>
        <v>198800</v>
      </c>
      <c r="D9" s="87">
        <f t="shared" si="1"/>
        <v>94850</v>
      </c>
      <c r="E9" s="87">
        <f t="shared" si="1"/>
        <v>347550</v>
      </c>
      <c r="F9" s="87">
        <f t="shared" si="1"/>
        <v>297150</v>
      </c>
      <c r="G9" s="87">
        <f t="shared" si="1"/>
        <v>227500</v>
      </c>
      <c r="H9" s="87">
        <f t="shared" si="1"/>
        <v>273000</v>
      </c>
      <c r="I9" s="87">
        <f t="shared" si="1"/>
        <v>289100</v>
      </c>
      <c r="J9" s="87">
        <f t="shared" si="1"/>
        <v>237300</v>
      </c>
      <c r="K9" s="87">
        <f t="shared" si="1"/>
        <v>300300</v>
      </c>
      <c r="L9" s="87">
        <f t="shared" si="1"/>
        <v>131250</v>
      </c>
      <c r="M9" s="87">
        <f t="shared" si="1"/>
        <v>324800</v>
      </c>
      <c r="N9" s="97">
        <f t="shared" ref="N9:N10" si="2">SUM(B9:M9)*1.2</f>
        <v>3478020</v>
      </c>
      <c r="O9" s="88"/>
      <c r="P9" s="21">
        <f>SUM(N8:N10)</f>
        <v>6778826.5999999996</v>
      </c>
    </row>
    <row r="10" spans="1:16" x14ac:dyDescent="0.3">
      <c r="A10" s="86" t="s">
        <v>102</v>
      </c>
      <c r="B10" s="87">
        <f t="shared" ref="B10:M10" si="3">B7*$B$3*$E$3</f>
        <v>38885</v>
      </c>
      <c r="C10" s="87">
        <f t="shared" si="3"/>
        <v>43736</v>
      </c>
      <c r="D10" s="87">
        <f t="shared" si="3"/>
        <v>20867</v>
      </c>
      <c r="E10" s="87">
        <f t="shared" si="3"/>
        <v>76461</v>
      </c>
      <c r="F10" s="87">
        <f t="shared" si="3"/>
        <v>65373</v>
      </c>
      <c r="G10" s="87">
        <f t="shared" si="3"/>
        <v>50050</v>
      </c>
      <c r="H10" s="87">
        <f t="shared" si="3"/>
        <v>60060</v>
      </c>
      <c r="I10" s="87">
        <f t="shared" si="3"/>
        <v>63602</v>
      </c>
      <c r="J10" s="87">
        <f t="shared" si="3"/>
        <v>52206</v>
      </c>
      <c r="K10" s="87">
        <f t="shared" si="3"/>
        <v>66066</v>
      </c>
      <c r="L10" s="87">
        <f t="shared" si="3"/>
        <v>28875</v>
      </c>
      <c r="M10" s="87">
        <f t="shared" si="3"/>
        <v>71456</v>
      </c>
      <c r="N10" s="97">
        <f>SUM(B10:M10)</f>
        <v>637637</v>
      </c>
      <c r="O10" s="88"/>
    </row>
    <row r="11" spans="1:16" x14ac:dyDescent="0.3">
      <c r="A11" s="86" t="s">
        <v>105</v>
      </c>
      <c r="B11" s="87">
        <f t="shared" ref="B11:M11" si="4">(B7*$B$1*$E$1)+(B7*$B$2*$E$2)+(B7*$B$3*$E$3)</f>
        <v>350975</v>
      </c>
      <c r="C11" s="87">
        <f t="shared" si="4"/>
        <v>394760</v>
      </c>
      <c r="D11" s="87">
        <f t="shared" si="4"/>
        <v>188345</v>
      </c>
      <c r="E11" s="87">
        <f t="shared" si="4"/>
        <v>690135</v>
      </c>
      <c r="F11" s="87">
        <f t="shared" si="4"/>
        <v>590055</v>
      </c>
      <c r="G11" s="87">
        <f t="shared" si="4"/>
        <v>451750</v>
      </c>
      <c r="H11" s="87">
        <f t="shared" si="4"/>
        <v>542100</v>
      </c>
      <c r="I11" s="87">
        <f t="shared" si="4"/>
        <v>574070</v>
      </c>
      <c r="J11" s="87">
        <f t="shared" si="4"/>
        <v>471210</v>
      </c>
      <c r="K11" s="87">
        <f t="shared" si="4"/>
        <v>596310</v>
      </c>
      <c r="L11" s="87">
        <f t="shared" si="4"/>
        <v>260625</v>
      </c>
      <c r="M11" s="87">
        <f t="shared" si="4"/>
        <v>644960</v>
      </c>
      <c r="P11" s="82"/>
    </row>
    <row r="13" spans="1:16" x14ac:dyDescent="0.3">
      <c r="A13" s="1"/>
      <c r="B13" s="61" t="s">
        <v>0</v>
      </c>
      <c r="C13" s="61" t="s">
        <v>1</v>
      </c>
      <c r="D13" s="61" t="s">
        <v>2</v>
      </c>
      <c r="E13" s="61" t="s">
        <v>3</v>
      </c>
      <c r="F13" s="61" t="s">
        <v>4</v>
      </c>
      <c r="G13" s="61" t="s">
        <v>5</v>
      </c>
      <c r="H13" s="61" t="s">
        <v>6</v>
      </c>
      <c r="I13" s="61" t="s">
        <v>7</v>
      </c>
      <c r="J13" s="61" t="s">
        <v>8</v>
      </c>
      <c r="K13" s="61" t="s">
        <v>9</v>
      </c>
      <c r="L13" s="61" t="s">
        <v>10</v>
      </c>
      <c r="M13" s="61" t="s">
        <v>11</v>
      </c>
    </row>
    <row r="14" spans="1:16" x14ac:dyDescent="0.3">
      <c r="A14" s="81" t="s">
        <v>98</v>
      </c>
      <c r="B14" s="89">
        <f>C22*1.2</f>
        <v>263214.54545454541</v>
      </c>
      <c r="C14" s="18">
        <f t="shared" ref="C14:N14" si="5">B7*$B$1*$E$1*1.2</f>
        <v>162408</v>
      </c>
      <c r="D14" s="18">
        <f>C7*$B$1*$E$1*1.2</f>
        <v>182668.79999999999</v>
      </c>
      <c r="E14" s="18">
        <f t="shared" si="5"/>
        <v>87153.599999999991</v>
      </c>
      <c r="F14" s="18">
        <f t="shared" si="5"/>
        <v>319348.8</v>
      </c>
      <c r="G14" s="18">
        <f t="shared" si="5"/>
        <v>273038.39999999997</v>
      </c>
      <c r="H14" s="18">
        <f t="shared" si="5"/>
        <v>209040</v>
      </c>
      <c r="I14" s="18">
        <f t="shared" si="5"/>
        <v>250848</v>
      </c>
      <c r="J14" s="18">
        <f t="shared" si="5"/>
        <v>265641.59999999998</v>
      </c>
      <c r="K14" s="18">
        <f t="shared" si="5"/>
        <v>218044.79999999999</v>
      </c>
      <c r="L14" s="18">
        <f t="shared" si="5"/>
        <v>275932.79999999999</v>
      </c>
      <c r="M14" s="18">
        <f t="shared" si="5"/>
        <v>120600</v>
      </c>
      <c r="N14" s="18">
        <f t="shared" si="5"/>
        <v>298444.79999999999</v>
      </c>
      <c r="P14" s="21">
        <f>SUM(B14:O14)</f>
        <v>2926384.1454545446</v>
      </c>
    </row>
    <row r="15" spans="1:16" x14ac:dyDescent="0.3">
      <c r="A15" s="81" t="s">
        <v>100</v>
      </c>
      <c r="B15" s="89">
        <f>B7*$B$2*$E$2*1.2*0.4+(C23*0.6*1.2)</f>
        <v>291362.18181818177</v>
      </c>
      <c r="C15" s="18">
        <f t="shared" ref="C15:O15" si="6">(C7*$B$2*$E$2*1.2*0.4)+(B7*$B$2*$E$2*1.2*0.6)</f>
        <v>222684</v>
      </c>
      <c r="D15" s="18">
        <f t="shared" si="6"/>
        <v>188664</v>
      </c>
      <c r="E15" s="18">
        <f t="shared" si="6"/>
        <v>235116</v>
      </c>
      <c r="F15" s="18">
        <f t="shared" si="6"/>
        <v>392868</v>
      </c>
      <c r="G15" s="18">
        <f t="shared" si="6"/>
        <v>323148</v>
      </c>
      <c r="H15" s="18">
        <f t="shared" si="6"/>
        <v>294840</v>
      </c>
      <c r="I15" s="18">
        <f t="shared" si="6"/>
        <v>335328</v>
      </c>
      <c r="J15" s="18">
        <f t="shared" si="6"/>
        <v>322056</v>
      </c>
      <c r="K15" s="18">
        <f t="shared" si="6"/>
        <v>315000</v>
      </c>
      <c r="L15" s="18">
        <f t="shared" si="6"/>
        <v>279216</v>
      </c>
      <c r="M15" s="18">
        <f t="shared" si="6"/>
        <v>250404</v>
      </c>
      <c r="N15" s="18">
        <f t="shared" si="6"/>
        <v>233856</v>
      </c>
      <c r="O15" s="18">
        <f t="shared" si="6"/>
        <v>0</v>
      </c>
      <c r="P15" s="21">
        <f t="shared" ref="P15:P16" si="7">SUM(B15:O15)</f>
        <v>3684542.1818181816</v>
      </c>
    </row>
    <row r="16" spans="1:16" x14ac:dyDescent="0.3">
      <c r="A16" s="81" t="s">
        <v>102</v>
      </c>
      <c r="B16" s="90">
        <v>25500</v>
      </c>
      <c r="C16" s="89">
        <f>C24</f>
        <v>63272.727272727272</v>
      </c>
      <c r="D16" s="18">
        <f t="shared" ref="D16:O16" si="8">B7*$B$3*$E$3</f>
        <v>38885</v>
      </c>
      <c r="E16" s="18">
        <f t="shared" si="8"/>
        <v>43736</v>
      </c>
      <c r="F16" s="18">
        <f t="shared" si="8"/>
        <v>20867</v>
      </c>
      <c r="G16" s="18">
        <f t="shared" si="8"/>
        <v>76461</v>
      </c>
      <c r="H16" s="18">
        <f t="shared" si="8"/>
        <v>65373</v>
      </c>
      <c r="I16" s="18">
        <f t="shared" si="8"/>
        <v>50050</v>
      </c>
      <c r="J16" s="18">
        <f t="shared" si="8"/>
        <v>60060</v>
      </c>
      <c r="K16" s="18">
        <f t="shared" si="8"/>
        <v>63602</v>
      </c>
      <c r="L16" s="18">
        <f t="shared" si="8"/>
        <v>52206</v>
      </c>
      <c r="M16" s="18">
        <f t="shared" si="8"/>
        <v>66066</v>
      </c>
      <c r="N16" s="18">
        <f t="shared" si="8"/>
        <v>28875</v>
      </c>
      <c r="O16" s="18">
        <f t="shared" si="8"/>
        <v>71456</v>
      </c>
      <c r="P16" s="21">
        <f t="shared" si="7"/>
        <v>726409.72727272729</v>
      </c>
    </row>
    <row r="17" spans="1:16" x14ac:dyDescent="0.3">
      <c r="A17" s="61" t="s">
        <v>24</v>
      </c>
      <c r="B17" s="91">
        <f>SUM(B14:B16)</f>
        <v>580076.72727272718</v>
      </c>
      <c r="C17" s="91">
        <f t="shared" ref="C17:M17" si="9">SUM(C14:C16)</f>
        <v>448364.72727272729</v>
      </c>
      <c r="D17" s="91">
        <f t="shared" si="9"/>
        <v>410217.8</v>
      </c>
      <c r="E17" s="91">
        <f t="shared" si="9"/>
        <v>366005.6</v>
      </c>
      <c r="F17" s="91">
        <f t="shared" si="9"/>
        <v>733083.8</v>
      </c>
      <c r="G17" s="91">
        <f t="shared" si="9"/>
        <v>672647.39999999991</v>
      </c>
      <c r="H17" s="91">
        <f t="shared" si="9"/>
        <v>569253</v>
      </c>
      <c r="I17" s="91">
        <f t="shared" si="9"/>
        <v>636226</v>
      </c>
      <c r="J17" s="91">
        <f t="shared" si="9"/>
        <v>647757.6</v>
      </c>
      <c r="K17" s="91">
        <f t="shared" si="9"/>
        <v>596646.80000000005</v>
      </c>
      <c r="L17" s="91">
        <f t="shared" si="9"/>
        <v>607354.80000000005</v>
      </c>
      <c r="M17" s="91">
        <f t="shared" si="9"/>
        <v>437070</v>
      </c>
    </row>
    <row r="18" spans="1:16" x14ac:dyDescent="0.3">
      <c r="P18" s="92">
        <f>SUM(P14:P16)</f>
        <v>7337336.0545454537</v>
      </c>
    </row>
    <row r="19" spans="1:16" x14ac:dyDescent="0.3">
      <c r="P19" s="21">
        <f>-D25-B16</f>
        <v>-558509.45454545447</v>
      </c>
    </row>
    <row r="20" spans="1:16" x14ac:dyDescent="0.3">
      <c r="C20" t="s">
        <v>106</v>
      </c>
      <c r="P20" s="21">
        <f>P18+P19</f>
        <v>6778826.5999999996</v>
      </c>
    </row>
    <row r="21" spans="1:16" x14ac:dyDescent="0.3">
      <c r="C21" s="93">
        <f>9280/1.1</f>
        <v>8436.363636363636</v>
      </c>
      <c r="P21" s="21"/>
    </row>
    <row r="22" spans="1:16" x14ac:dyDescent="0.3">
      <c r="A22" s="81" t="s">
        <v>98</v>
      </c>
      <c r="C22" s="94">
        <f>C21*B1*(E1-2)</f>
        <v>219345.45454545453</v>
      </c>
      <c r="D22" s="95">
        <f>C22*1.2</f>
        <v>263214.54545454541</v>
      </c>
    </row>
    <row r="23" spans="1:16" x14ac:dyDescent="0.3">
      <c r="A23" s="81" t="s">
        <v>100</v>
      </c>
      <c r="C23" s="94">
        <f>C21*B2*(E2-2)</f>
        <v>286836.36363636365</v>
      </c>
      <c r="D23" s="96">
        <f>+C23*0.6*1.2</f>
        <v>206522.18181818179</v>
      </c>
      <c r="P23" s="21"/>
    </row>
    <row r="24" spans="1:16" x14ac:dyDescent="0.3">
      <c r="A24" s="81" t="s">
        <v>102</v>
      </c>
      <c r="C24" s="94">
        <f>C21*B3*(E3-2)</f>
        <v>63272.727272727272</v>
      </c>
      <c r="D24" s="96">
        <f>+C24</f>
        <v>63272.727272727272</v>
      </c>
    </row>
    <row r="25" spans="1:16" x14ac:dyDescent="0.3">
      <c r="C25" s="70">
        <f>C23+C24+C22</f>
        <v>569454.54545454541</v>
      </c>
      <c r="D25" s="96">
        <f>D23+D24+D22</f>
        <v>533009.45454545447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b6f2b70-d5a1-4544-a145-5b4293f136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29F2146C75048A695AB3F03D98EF9" ma:contentTypeVersion="12" ma:contentTypeDescription="Crée un document." ma:contentTypeScope="" ma:versionID="64fd4b693ab861ecd05c7c9a0ff5b725">
  <xsd:schema xmlns:xsd="http://www.w3.org/2001/XMLSchema" xmlns:xs="http://www.w3.org/2001/XMLSchema" xmlns:p="http://schemas.microsoft.com/office/2006/metadata/properties" xmlns:ns3="1b6f2b70-d5a1-4544-a145-5b4293f13656" targetNamespace="http://schemas.microsoft.com/office/2006/metadata/properties" ma:root="true" ma:fieldsID="1d535e6f73a1e622272d656ab1345b4a" ns3:_="">
    <xsd:import namespace="1b6f2b70-d5a1-4544-a145-5b4293f136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f2b70-d5a1-4544-a145-5b4293f13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95BE9F-29E4-4FA6-A1FF-AEDD6B26CD4B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1b6f2b70-d5a1-4544-a145-5b4293f13656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06F80A7-B05B-48C4-BBEE-4BE9749F4B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f2b70-d5a1-4544-a145-5b4293f136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905173-1C9A-41B4-BD47-81EE53C7A3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Exercice 1</vt:lpstr>
      <vt:lpstr>Exercice 2</vt:lpstr>
      <vt:lpstr>Exercice 3</vt:lpstr>
      <vt:lpstr>Exercice 4</vt:lpstr>
      <vt:lpstr>Exercice 5</vt:lpstr>
      <vt:lpstr>Exercice 6</vt:lpstr>
      <vt:lpstr>Exercice 7</vt:lpstr>
      <vt:lpstr>Exercice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 Eric</dc:creator>
  <cp:lastModifiedBy>Eric Noel</cp:lastModifiedBy>
  <dcterms:created xsi:type="dcterms:W3CDTF">2022-05-02T13:12:46Z</dcterms:created>
  <dcterms:modified xsi:type="dcterms:W3CDTF">2025-08-05T16:35:25Z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dc7e4b21-1ed2-451c-9bdf-7b94264da2fb</vt:lpwstr>
  </property>
  <property fmtid="{D5CDD505-2E9C-101B-9397-08002B2CF9AE}" pid="3" name="ContentTypeId">
    <vt:lpwstr>0x01010021529F2146C75048A695AB3F03D98EF9</vt:lpwstr>
  </property>
</Properties>
</file>