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CG2P/R3 CG2P11/Chapitre 1/"/>
    </mc:Choice>
  </mc:AlternateContent>
  <xr:revisionPtr revIDLastSave="0" documentId="102_{5D10A861-B786-48F9-94F6-E63CF002257C}" xr6:coauthVersionLast="36" xr6:coauthVersionMax="36" xr10:uidLastSave="{00000000-0000-0000-0000-000000000000}"/>
  <bookViews>
    <workbookView xWindow="0" yWindow="0" windowWidth="28800" windowHeight="11925" xr2:uid="{CC59C2DB-9F58-4632-A758-12298FA315A7}"/>
  </bookViews>
  <sheets>
    <sheet name="Coût Octobre" sheetId="1" r:id="rId1"/>
    <sheet name="VC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4" l="1"/>
  <c r="E69" i="4"/>
  <c r="B69" i="4"/>
  <c r="D69" i="4" s="1"/>
  <c r="B67" i="4"/>
  <c r="E65" i="4"/>
  <c r="E64" i="4"/>
  <c r="G64" i="4" s="1"/>
  <c r="B64" i="4"/>
  <c r="D64" i="4" s="1"/>
  <c r="E63" i="4"/>
  <c r="E67" i="4" s="1"/>
  <c r="B63" i="4"/>
  <c r="B65" i="4" s="1"/>
  <c r="T51" i="4"/>
  <c r="T52" i="4" s="1"/>
  <c r="R51" i="4"/>
  <c r="T50" i="4"/>
  <c r="T49" i="4"/>
  <c r="R49" i="4"/>
  <c r="E49" i="4"/>
  <c r="G56" i="4" s="1"/>
  <c r="G57" i="4" s="1"/>
  <c r="B49" i="4"/>
  <c r="B56" i="4" s="1"/>
  <c r="B57" i="4" s="1"/>
  <c r="E48" i="4"/>
  <c r="B48" i="4"/>
  <c r="E47" i="4"/>
  <c r="B47" i="4"/>
  <c r="E44" i="4"/>
  <c r="B44" i="4"/>
  <c r="I43" i="4"/>
  <c r="E43" i="4"/>
  <c r="E45" i="4" s="1"/>
  <c r="G45" i="4" s="1"/>
  <c r="B43" i="4"/>
  <c r="D43" i="4" s="1"/>
  <c r="T42" i="4"/>
  <c r="R42" i="4"/>
  <c r="E42" i="4"/>
  <c r="G42" i="4" s="1"/>
  <c r="B42" i="4"/>
  <c r="D42" i="4" s="1"/>
  <c r="T41" i="4"/>
  <c r="R41" i="4"/>
  <c r="Q41" i="4"/>
  <c r="Q50" i="4" s="1"/>
  <c r="R50" i="4" s="1"/>
  <c r="R52" i="4" s="1"/>
  <c r="I41" i="4"/>
  <c r="E41" i="4"/>
  <c r="G41" i="4" s="1"/>
  <c r="B41" i="4"/>
  <c r="D41" i="4" s="1"/>
  <c r="T40" i="4"/>
  <c r="T43" i="4" s="1"/>
  <c r="R40" i="4"/>
  <c r="R43" i="4" s="1"/>
  <c r="I40" i="4"/>
  <c r="I42" i="4" s="1"/>
  <c r="I44" i="4" s="1"/>
  <c r="E40" i="4"/>
  <c r="B40" i="4"/>
  <c r="B35" i="4" s="1"/>
  <c r="P24" i="4"/>
  <c r="O24" i="4" s="1"/>
  <c r="N24" i="4"/>
  <c r="G24" i="4"/>
  <c r="B24" i="4"/>
  <c r="B33" i="4" s="1"/>
  <c r="B34" i="4" s="1"/>
  <c r="P23" i="4"/>
  <c r="D23" i="4"/>
  <c r="C23" i="4"/>
  <c r="B23" i="4"/>
  <c r="P21" i="4"/>
  <c r="D21" i="4"/>
  <c r="D24" i="4" s="1"/>
  <c r="D12" i="4"/>
  <c r="D11" i="4"/>
  <c r="D14" i="4" s="1"/>
  <c r="D16" i="4" s="1"/>
  <c r="G5" i="4"/>
  <c r="C65" i="4" s="1"/>
  <c r="F65" i="4" s="1"/>
  <c r="F5" i="4"/>
  <c r="F45" i="4" s="1"/>
  <c r="E5" i="4"/>
  <c r="F44" i="4" s="1"/>
  <c r="D5" i="4"/>
  <c r="H23" i="4" s="1"/>
  <c r="K23" i="4" s="1"/>
  <c r="K24" i="4" s="1"/>
  <c r="H24" i="4" s="1"/>
  <c r="C5" i="4"/>
  <c r="F4" i="4"/>
  <c r="F48" i="1"/>
  <c r="T53" i="1"/>
  <c r="T52" i="1"/>
  <c r="T50" i="1"/>
  <c r="T51" i="1"/>
  <c r="T49" i="1"/>
  <c r="T44" i="1"/>
  <c r="F47" i="1"/>
  <c r="T43" i="1"/>
  <c r="T42" i="1"/>
  <c r="T41" i="1"/>
  <c r="T40" i="1"/>
  <c r="R40" i="1"/>
  <c r="R44" i="4" l="1"/>
  <c r="C47" i="4"/>
  <c r="D47" i="4" s="1"/>
  <c r="G44" i="4"/>
  <c r="G65" i="4"/>
  <c r="F47" i="4"/>
  <c r="G47" i="4" s="1"/>
  <c r="T44" i="4"/>
  <c r="C48" i="4"/>
  <c r="D48" i="4" s="1"/>
  <c r="R53" i="4"/>
  <c r="D33" i="4"/>
  <c r="D34" i="4" s="1"/>
  <c r="C34" i="4" s="1"/>
  <c r="C35" i="4" s="1"/>
  <c r="C24" i="4"/>
  <c r="T53" i="4"/>
  <c r="F48" i="4"/>
  <c r="G48" i="4"/>
  <c r="D65" i="4"/>
  <c r="C44" i="4"/>
  <c r="D44" i="4" s="1"/>
  <c r="C45" i="4"/>
  <c r="G43" i="4"/>
  <c r="B45" i="4"/>
  <c r="B48" i="1"/>
  <c r="B47" i="1"/>
  <c r="E48" i="1"/>
  <c r="E47" i="1"/>
  <c r="E40" i="1"/>
  <c r="B40" i="1"/>
  <c r="E42" i="1"/>
  <c r="B42" i="1"/>
  <c r="F40" i="4" l="1"/>
  <c r="G40" i="4" s="1"/>
  <c r="G46" i="4" s="1"/>
  <c r="G49" i="4" s="1"/>
  <c r="C40" i="4"/>
  <c r="D40" i="4" s="1"/>
  <c r="D46" i="4" s="1"/>
  <c r="D49" i="4" s="1"/>
  <c r="D35" i="4"/>
  <c r="D45" i="4"/>
  <c r="R51" i="1"/>
  <c r="R49" i="1"/>
  <c r="R42" i="1"/>
  <c r="R41" i="1"/>
  <c r="Q41" i="1"/>
  <c r="Q50" i="1" s="1"/>
  <c r="R50" i="1" s="1"/>
  <c r="I43" i="1"/>
  <c r="I41" i="1"/>
  <c r="I40" i="1"/>
  <c r="I42" i="1" s="1"/>
  <c r="I44" i="1" s="1"/>
  <c r="E43" i="1"/>
  <c r="B43" i="1"/>
  <c r="B23" i="1"/>
  <c r="D12" i="1"/>
  <c r="D11" i="1"/>
  <c r="D14" i="1" s="1"/>
  <c r="D16" i="1" s="1"/>
  <c r="B64" i="1"/>
  <c r="D64" i="1" s="1"/>
  <c r="P21" i="1"/>
  <c r="E49" i="1"/>
  <c r="B49" i="1"/>
  <c r="E44" i="1"/>
  <c r="B44" i="1"/>
  <c r="E41" i="1"/>
  <c r="B41" i="1"/>
  <c r="B67" i="1"/>
  <c r="E64" i="1"/>
  <c r="G64" i="1" s="1"/>
  <c r="E63" i="1"/>
  <c r="E65" i="1" s="1"/>
  <c r="B63" i="1"/>
  <c r="B65" i="1" s="1"/>
  <c r="D56" i="4" l="1"/>
  <c r="D57" i="4" s="1"/>
  <c r="C57" i="4" s="1"/>
  <c r="C58" i="4" s="1"/>
  <c r="C49" i="4"/>
  <c r="F49" i="4"/>
  <c r="I56" i="4"/>
  <c r="I57" i="4" s="1"/>
  <c r="H57" i="4" s="1"/>
  <c r="H58" i="4" s="1"/>
  <c r="R43" i="1"/>
  <c r="R52" i="1"/>
  <c r="B35" i="1"/>
  <c r="C47" i="1"/>
  <c r="E67" i="1"/>
  <c r="B69" i="1"/>
  <c r="D69" i="1" s="1"/>
  <c r="E69" i="1"/>
  <c r="G69" i="1" s="1"/>
  <c r="I58" i="4" l="1"/>
  <c r="F63" i="4"/>
  <c r="G63" i="4" s="1"/>
  <c r="D58" i="4"/>
  <c r="C63" i="4"/>
  <c r="D63" i="4" s="1"/>
  <c r="C48" i="1"/>
  <c r="D48" i="1" s="1"/>
  <c r="R53" i="1"/>
  <c r="R44" i="1"/>
  <c r="G56" i="1"/>
  <c r="G57" i="1" s="1"/>
  <c r="B56" i="1"/>
  <c r="B57" i="1" s="1"/>
  <c r="B66" i="4" l="1"/>
  <c r="E66" i="4"/>
  <c r="D47" i="1"/>
  <c r="D42" i="1"/>
  <c r="G43" i="1"/>
  <c r="B45" i="1"/>
  <c r="D41" i="1"/>
  <c r="G41" i="1"/>
  <c r="N24" i="1"/>
  <c r="P23" i="1"/>
  <c r="P24" i="1" s="1"/>
  <c r="O24" i="1" s="1"/>
  <c r="H23" i="1"/>
  <c r="K23" i="1" s="1"/>
  <c r="K24" i="1" s="1"/>
  <c r="G24" i="1"/>
  <c r="D21" i="1"/>
  <c r="B24" i="1"/>
  <c r="B33" i="1" s="1"/>
  <c r="B34" i="1" s="1"/>
  <c r="D23" i="1"/>
  <c r="D5" i="1"/>
  <c r="E5" i="1"/>
  <c r="F44" i="1" s="1"/>
  <c r="G44" i="1" s="1"/>
  <c r="G5" i="1"/>
  <c r="C65" i="1" s="1"/>
  <c r="C5" i="1"/>
  <c r="C23" i="1" s="1"/>
  <c r="F4" i="1"/>
  <c r="F5" i="1" s="1"/>
  <c r="F45" i="1" s="1"/>
  <c r="H4" i="4" l="1"/>
  <c r="H5" i="4" s="1"/>
  <c r="C66" i="4" s="1"/>
  <c r="F66" i="4" s="1"/>
  <c r="G66" i="4" s="1"/>
  <c r="G67" i="4" s="1"/>
  <c r="G47" i="1"/>
  <c r="D24" i="1"/>
  <c r="C24" i="1" s="1"/>
  <c r="D43" i="1"/>
  <c r="E45" i="1"/>
  <c r="G45" i="1" s="1"/>
  <c r="C44" i="1"/>
  <c r="D44" i="1" s="1"/>
  <c r="C45" i="1"/>
  <c r="D45" i="1" s="1"/>
  <c r="G48" i="1"/>
  <c r="F65" i="1"/>
  <c r="G65" i="1" s="1"/>
  <c r="D65" i="1"/>
  <c r="G42" i="1"/>
  <c r="H24" i="1"/>
  <c r="F67" i="4" l="1"/>
  <c r="G71" i="4"/>
  <c r="D66" i="4"/>
  <c r="D67" i="4" s="1"/>
  <c r="D33" i="1"/>
  <c r="D34" i="1" s="1"/>
  <c r="C34" i="1" s="1"/>
  <c r="C35" i="1" s="1"/>
  <c r="F40" i="1" s="1"/>
  <c r="G40" i="1" s="1"/>
  <c r="G46" i="1" s="1"/>
  <c r="G49" i="1" s="1"/>
  <c r="D35" i="1"/>
  <c r="C67" i="4" l="1"/>
  <c r="D71" i="4"/>
  <c r="C40" i="1"/>
  <c r="D40" i="1" s="1"/>
  <c r="D46" i="1" s="1"/>
  <c r="D49" i="1" s="1"/>
  <c r="I56" i="1"/>
  <c r="I57" i="1" s="1"/>
  <c r="H57" i="1" s="1"/>
  <c r="H58" i="1" s="1"/>
  <c r="I71" i="4" l="1"/>
  <c r="C49" i="1"/>
  <c r="F49" i="1"/>
  <c r="I58" i="1"/>
  <c r="F63" i="1"/>
  <c r="G63" i="1" s="1"/>
  <c r="E66" i="1" s="1"/>
  <c r="D56" i="1" l="1"/>
  <c r="D57" i="1" s="1"/>
  <c r="C57" i="1" s="1"/>
  <c r="C58" i="1" s="1"/>
  <c r="D58" i="1" l="1"/>
  <c r="C63" i="1"/>
  <c r="D63" i="1" s="1"/>
  <c r="B66" i="1" s="1"/>
  <c r="H4" i="1" s="1"/>
  <c r="H5" i="1" s="1"/>
  <c r="C66" i="1" s="1"/>
  <c r="F66" i="1" s="1"/>
  <c r="G66" i="1" s="1"/>
  <c r="G67" i="1" s="1"/>
  <c r="G71" i="1" s="1"/>
  <c r="D66" i="1" l="1"/>
  <c r="D67" i="1" s="1"/>
  <c r="D71" i="1" s="1"/>
  <c r="F67" i="1"/>
  <c r="I71" i="1" l="1"/>
  <c r="C67" i="1"/>
</calcChain>
</file>

<file path=xl/sharedStrings.xml><?xml version="1.0" encoding="utf-8"?>
<sst xmlns="http://schemas.openxmlformats.org/spreadsheetml/2006/main" count="242" uniqueCount="58">
  <si>
    <t>TOTAL</t>
  </si>
  <si>
    <t>COUT D'ACHAT</t>
  </si>
  <si>
    <t>Q</t>
  </si>
  <si>
    <t>PU</t>
  </si>
  <si>
    <t>M</t>
  </si>
  <si>
    <t>Laine</t>
  </si>
  <si>
    <t>Transport</t>
  </si>
  <si>
    <t>CI</t>
  </si>
  <si>
    <t>Logo</t>
  </si>
  <si>
    <t>Logo SWAGGY</t>
  </si>
  <si>
    <t>Autres charges</t>
  </si>
  <si>
    <t>Logo SPIRIT</t>
  </si>
  <si>
    <t>SI</t>
  </si>
  <si>
    <t>SORTIE</t>
  </si>
  <si>
    <t>ENTREE</t>
  </si>
  <si>
    <t>SWAGGY</t>
  </si>
  <si>
    <t>SPIRIT</t>
  </si>
  <si>
    <t>MOD</t>
  </si>
  <si>
    <t>CI Couture</t>
  </si>
  <si>
    <t>MOD Tissage</t>
  </si>
  <si>
    <t>MOD Couture</t>
  </si>
  <si>
    <t>CI Tissage</t>
  </si>
  <si>
    <t>En cours initial</t>
  </si>
  <si>
    <t>En Cours final</t>
  </si>
  <si>
    <t>Coût de production de la production achevée</t>
  </si>
  <si>
    <t>STOCK SWAGGY</t>
  </si>
  <si>
    <t>Coût de production de la production vendue</t>
  </si>
  <si>
    <t>Commission</t>
  </si>
  <si>
    <t>CI distribution</t>
  </si>
  <si>
    <t>CI Administration</t>
  </si>
  <si>
    <t>CA</t>
  </si>
  <si>
    <t>Logos</t>
  </si>
  <si>
    <t>Tissage</t>
  </si>
  <si>
    <t>Couture</t>
  </si>
  <si>
    <t>Distribution</t>
  </si>
  <si>
    <t>Administration</t>
  </si>
  <si>
    <t>Nbre OU</t>
  </si>
  <si>
    <t>CUO</t>
  </si>
  <si>
    <t>Laine consommée pour le pull SWAGGY</t>
  </si>
  <si>
    <t xml:space="preserve">Production achevée </t>
  </si>
  <si>
    <t>En cours initial (60)</t>
  </si>
  <si>
    <t>Achevé à 60%</t>
  </si>
  <si>
    <t>En cours final (70)</t>
  </si>
  <si>
    <t>Achevé à 40%</t>
  </si>
  <si>
    <t>intégralement</t>
  </si>
  <si>
    <t>Kg</t>
  </si>
  <si>
    <t>STOCK  LAINE</t>
  </si>
  <si>
    <t>Quantité</t>
  </si>
  <si>
    <t>STOCK INITIAL</t>
  </si>
  <si>
    <t>En cours final</t>
  </si>
  <si>
    <t>Pulls en équivalent terminés</t>
  </si>
  <si>
    <t>Temps pour un pull</t>
  </si>
  <si>
    <t>RESULTAT</t>
  </si>
  <si>
    <t>COUT DE PRODUCTION DE LA PERIODE</t>
  </si>
  <si>
    <t>En cours  Initial SWAGGY</t>
  </si>
  <si>
    <t>¨Prix</t>
  </si>
  <si>
    <t xml:space="preserve">Quantité </t>
  </si>
  <si>
    <t>En cours  Initial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</si>
</sst>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6" fontId="0" fillId="0" borderId="0" xfId="0" applyNumberFormat="1"/>
    <xf numFmtId="9" fontId="0" fillId="0" borderId="0" xfId="0" applyNumberFormat="1"/>
    <xf numFmtId="8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NumberFormat="1" applyFont="1" applyBorder="1"/>
    <xf numFmtId="0" fontId="0" fillId="2" borderId="1" xfId="0" applyFill="1" applyBorder="1"/>
    <xf numFmtId="164" fontId="0" fillId="0" borderId="1" xfId="0" applyNumberFormat="1" applyBorder="1"/>
    <xf numFmtId="44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0" xfId="0" applyFont="1"/>
    <xf numFmtId="164" fontId="0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 applyAlignment="1">
      <alignment horizontal="left"/>
    </xf>
    <xf numFmtId="44" fontId="4" fillId="0" borderId="1" xfId="1" applyFont="1" applyBorder="1"/>
    <xf numFmtId="44" fontId="4" fillId="0" borderId="1" xfId="1" applyNumberFormat="1" applyFont="1" applyBorder="1"/>
    <xf numFmtId="0" fontId="4" fillId="2" borderId="1" xfId="0" applyFont="1" applyFill="1" applyBorder="1"/>
    <xf numFmtId="44" fontId="4" fillId="2" borderId="1" xfId="0" applyNumberFormat="1" applyFont="1" applyFill="1" applyBorder="1"/>
    <xf numFmtId="44" fontId="4" fillId="2" borderId="1" xfId="1" applyFont="1" applyFill="1" applyBorder="1"/>
    <xf numFmtId="0" fontId="0" fillId="2" borderId="0" xfId="0" applyFill="1" applyBorder="1"/>
    <xf numFmtId="44" fontId="0" fillId="2" borderId="0" xfId="0" applyNumberFormat="1" applyFill="1" applyBorder="1"/>
    <xf numFmtId="164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1" applyNumberFormat="1" applyFont="1" applyBorder="1"/>
    <xf numFmtId="44" fontId="0" fillId="0" borderId="0" xfId="0" applyNumberFormat="1" applyBorder="1"/>
    <xf numFmtId="44" fontId="2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1" xfId="0" applyFont="1" applyBorder="1"/>
    <xf numFmtId="0" fontId="2" fillId="2" borderId="1" xfId="0" applyFont="1" applyFill="1" applyBorder="1"/>
    <xf numFmtId="44" fontId="2" fillId="2" borderId="1" xfId="1" applyFont="1" applyFill="1" applyBorder="1"/>
    <xf numFmtId="0" fontId="2" fillId="3" borderId="1" xfId="0" applyFont="1" applyFill="1" applyBorder="1"/>
    <xf numFmtId="44" fontId="2" fillId="3" borderId="1" xfId="1" applyFont="1" applyFill="1" applyBorder="1"/>
    <xf numFmtId="0" fontId="2" fillId="0" borderId="3" xfId="0" applyFont="1" applyBorder="1"/>
    <xf numFmtId="0" fontId="0" fillId="3" borderId="1" xfId="0" applyFill="1" applyBorder="1" applyAlignment="1">
      <alignment horizontal="center"/>
    </xf>
    <xf numFmtId="8" fontId="0" fillId="2" borderId="1" xfId="0" applyNumberFormat="1" applyFill="1" applyBorder="1"/>
    <xf numFmtId="0" fontId="0" fillId="3" borderId="1" xfId="0" applyFill="1" applyBorder="1"/>
    <xf numFmtId="8" fontId="0" fillId="3" borderId="1" xfId="0" applyNumberFormat="1" applyFill="1" applyBorder="1"/>
    <xf numFmtId="2" fontId="0" fillId="2" borderId="1" xfId="0" applyNumberFormat="1" applyFill="1" applyBorder="1"/>
    <xf numFmtId="6" fontId="0" fillId="2" borderId="1" xfId="0" applyNumberFormat="1" applyFill="1" applyBorder="1"/>
    <xf numFmtId="6" fontId="0" fillId="3" borderId="1" xfId="0" applyNumberFormat="1" applyFill="1" applyBorder="1"/>
    <xf numFmtId="0" fontId="0" fillId="2" borderId="2" xfId="0" applyFill="1" applyBorder="1"/>
    <xf numFmtId="8" fontId="0" fillId="2" borderId="2" xfId="0" applyNumberFormat="1" applyFill="1" applyBorder="1"/>
    <xf numFmtId="44" fontId="0" fillId="3" borderId="1" xfId="1" applyFont="1" applyFill="1" applyBorder="1"/>
    <xf numFmtId="0" fontId="4" fillId="3" borderId="1" xfId="0" applyFont="1" applyFill="1" applyBorder="1"/>
    <xf numFmtId="8" fontId="4" fillId="3" borderId="1" xfId="1" applyNumberFormat="1" applyFont="1" applyFill="1" applyBorder="1"/>
    <xf numFmtId="44" fontId="4" fillId="3" borderId="1" xfId="1" applyFont="1" applyFill="1" applyBorder="1"/>
    <xf numFmtId="8" fontId="4" fillId="2" borderId="1" xfId="1" applyNumberFormat="1" applyFont="1" applyFill="1" applyBorder="1"/>
    <xf numFmtId="0" fontId="0" fillId="0" borderId="1" xfId="0" applyFill="1" applyBorder="1"/>
    <xf numFmtId="44" fontId="4" fillId="0" borderId="1" xfId="1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44" fontId="0" fillId="0" borderId="1" xfId="1" applyFont="1" applyFill="1" applyBorder="1"/>
    <xf numFmtId="44" fontId="0" fillId="0" borderId="1" xfId="0" applyNumberFormat="1" applyFill="1" applyBorder="1"/>
    <xf numFmtId="9" fontId="0" fillId="0" borderId="1" xfId="2" applyFont="1" applyFill="1" applyBorder="1"/>
    <xf numFmtId="9" fontId="0" fillId="0" borderId="1" xfId="0" applyNumberFormat="1" applyFill="1" applyBorder="1"/>
    <xf numFmtId="44" fontId="0" fillId="0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F210-B659-4603-A9ED-1A09B2F7C6EB}">
  <dimension ref="A2:T75"/>
  <sheetViews>
    <sheetView showGridLines="0" tabSelected="1" topLeftCell="A40" zoomScale="95" zoomScaleNormal="95" workbookViewId="0">
      <selection activeCell="I66" sqref="I66:J66"/>
    </sheetView>
  </sheetViews>
  <sheetFormatPr baseColWidth="10" defaultRowHeight="15" x14ac:dyDescent="0.25"/>
  <cols>
    <col min="1" max="1" width="41.42578125" bestFit="1" customWidth="1"/>
    <col min="2" max="2" width="19.140625" bestFit="1" customWidth="1"/>
    <col min="4" max="4" width="12.7109375" bestFit="1" customWidth="1"/>
    <col min="5" max="5" width="13.7109375" bestFit="1" customWidth="1"/>
    <col min="6" max="6" width="14.42578125" customWidth="1"/>
    <col min="7" max="7" width="14.85546875" customWidth="1"/>
    <col min="8" max="8" width="14.28515625" bestFit="1" customWidth="1"/>
    <col min="9" max="10" width="14.28515625" customWidth="1"/>
    <col min="11" max="11" width="12.7109375" bestFit="1" customWidth="1"/>
    <col min="12" max="12" width="15.85546875" customWidth="1"/>
    <col min="13" max="13" width="14.5703125" customWidth="1"/>
    <col min="14" max="14" width="7.5703125" customWidth="1"/>
    <col min="15" max="15" width="8.42578125" customWidth="1"/>
  </cols>
  <sheetData>
    <row r="2" spans="2:10" x14ac:dyDescent="0.25">
      <c r="B2" s="4"/>
      <c r="C2" s="4" t="s">
        <v>5</v>
      </c>
      <c r="D2" s="4" t="s">
        <v>31</v>
      </c>
      <c r="E2" s="4" t="s">
        <v>32</v>
      </c>
      <c r="F2" s="4" t="s">
        <v>33</v>
      </c>
      <c r="G2" s="4" t="s">
        <v>34</v>
      </c>
      <c r="H2" s="15" t="s">
        <v>35</v>
      </c>
      <c r="I2" s="32"/>
      <c r="J2" s="32"/>
    </row>
    <row r="3" spans="2:10" x14ac:dyDescent="0.25">
      <c r="B3" s="4" t="s">
        <v>7</v>
      </c>
      <c r="C3" s="4">
        <v>7695</v>
      </c>
      <c r="D3" s="4">
        <v>14000</v>
      </c>
      <c r="E3" s="4">
        <v>55000</v>
      </c>
      <c r="F3" s="4">
        <v>5600</v>
      </c>
      <c r="G3" s="4">
        <v>16100</v>
      </c>
      <c r="H3" s="15">
        <v>9502.5</v>
      </c>
      <c r="I3" s="32"/>
      <c r="J3" s="32"/>
    </row>
    <row r="4" spans="2:10" x14ac:dyDescent="0.25">
      <c r="B4" s="4" t="s">
        <v>36</v>
      </c>
      <c r="C4" s="4">
        <v>13500</v>
      </c>
      <c r="D4" s="4">
        <v>1000</v>
      </c>
      <c r="E4" s="4">
        <v>1000</v>
      </c>
      <c r="F4" s="4">
        <f>600*0.1+400*0.2</f>
        <v>140</v>
      </c>
      <c r="G4" s="4">
        <v>1150</v>
      </c>
      <c r="H4" s="17">
        <f>B66+E66</f>
        <v>136763.20446428572</v>
      </c>
      <c r="I4" s="33"/>
      <c r="J4" s="33"/>
    </row>
    <row r="5" spans="2:10" x14ac:dyDescent="0.25">
      <c r="B5" s="4" t="s">
        <v>37</v>
      </c>
      <c r="C5" s="16">
        <f>C3/C4</f>
        <v>0.56999999999999995</v>
      </c>
      <c r="D5" s="16">
        <f t="shared" ref="D5:H5" si="0">D3/D4</f>
        <v>14</v>
      </c>
      <c r="E5" s="16">
        <f t="shared" si="0"/>
        <v>55</v>
      </c>
      <c r="F5" s="16">
        <f t="shared" si="0"/>
        <v>40</v>
      </c>
      <c r="G5" s="16">
        <f t="shared" si="0"/>
        <v>14</v>
      </c>
      <c r="H5" s="18">
        <f t="shared" si="0"/>
        <v>6.9481407935871223E-2</v>
      </c>
      <c r="I5" s="34"/>
      <c r="J5" s="34"/>
    </row>
    <row r="8" spans="2:10" x14ac:dyDescent="0.25">
      <c r="C8">
        <v>8880</v>
      </c>
      <c r="D8" t="s">
        <v>38</v>
      </c>
    </row>
    <row r="10" spans="2:10" x14ac:dyDescent="0.25">
      <c r="B10" t="s">
        <v>39</v>
      </c>
      <c r="D10">
        <v>600</v>
      </c>
    </row>
    <row r="11" spans="2:10" x14ac:dyDescent="0.25">
      <c r="B11" t="s">
        <v>40</v>
      </c>
      <c r="D11">
        <f>60*0.6</f>
        <v>36</v>
      </c>
      <c r="E11" t="s">
        <v>41</v>
      </c>
    </row>
    <row r="12" spans="2:10" x14ac:dyDescent="0.25">
      <c r="B12" t="s">
        <v>42</v>
      </c>
      <c r="D12">
        <f>70*0.4</f>
        <v>28</v>
      </c>
      <c r="E12" t="s">
        <v>43</v>
      </c>
    </row>
    <row r="14" spans="2:10" x14ac:dyDescent="0.25">
      <c r="D14">
        <f>D10-D11+D12</f>
        <v>592</v>
      </c>
      <c r="E14" t="s">
        <v>44</v>
      </c>
    </row>
    <row r="15" spans="2:10" x14ac:dyDescent="0.25">
      <c r="D15">
        <v>15</v>
      </c>
      <c r="E15" t="s">
        <v>45</v>
      </c>
    </row>
    <row r="16" spans="2:10" x14ac:dyDescent="0.25">
      <c r="D16">
        <f>D14*D15</f>
        <v>8880</v>
      </c>
    </row>
    <row r="19" spans="1:16" x14ac:dyDescent="0.25">
      <c r="A19" s="73" t="s">
        <v>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1:16" x14ac:dyDescent="0.25">
      <c r="A20" s="8"/>
      <c r="B20" s="8" t="s">
        <v>2</v>
      </c>
      <c r="C20" s="8" t="s">
        <v>3</v>
      </c>
      <c r="D20" s="8" t="s">
        <v>4</v>
      </c>
      <c r="F20" s="8"/>
      <c r="G20" s="8" t="s">
        <v>2</v>
      </c>
      <c r="H20" s="8" t="s">
        <v>3</v>
      </c>
      <c r="I20" s="8"/>
      <c r="J20" s="8"/>
      <c r="K20" s="8" t="s">
        <v>4</v>
      </c>
      <c r="M20" s="8"/>
      <c r="N20" s="8" t="s">
        <v>2</v>
      </c>
      <c r="O20" s="8" t="s">
        <v>3</v>
      </c>
      <c r="P20" s="8" t="s">
        <v>4</v>
      </c>
    </row>
    <row r="21" spans="1:16" x14ac:dyDescent="0.25">
      <c r="A21" s="19" t="s">
        <v>5</v>
      </c>
      <c r="B21" s="8">
        <v>13500</v>
      </c>
      <c r="C21" s="9">
        <v>1.36</v>
      </c>
      <c r="D21" s="9">
        <f>B21*C21</f>
        <v>18360</v>
      </c>
      <c r="F21" s="19" t="s">
        <v>9</v>
      </c>
      <c r="G21" s="8">
        <v>600</v>
      </c>
      <c r="H21" s="8"/>
      <c r="I21" s="8"/>
      <c r="J21" s="8"/>
      <c r="K21" s="9">
        <v>300</v>
      </c>
      <c r="M21" s="19" t="s">
        <v>11</v>
      </c>
      <c r="N21" s="8">
        <v>400</v>
      </c>
      <c r="O21" s="8">
        <v>1.75</v>
      </c>
      <c r="P21" s="9">
        <f>N21*O21</f>
        <v>700</v>
      </c>
    </row>
    <row r="22" spans="1:16" x14ac:dyDescent="0.25">
      <c r="A22" s="8" t="s">
        <v>6</v>
      </c>
      <c r="B22" s="8"/>
      <c r="C22" s="9"/>
      <c r="D22" s="9">
        <v>4995</v>
      </c>
      <c r="F22" s="8" t="s">
        <v>10</v>
      </c>
      <c r="G22" s="8"/>
      <c r="H22" s="8"/>
      <c r="I22" s="8"/>
      <c r="J22" s="8"/>
      <c r="K22" s="9">
        <v>300</v>
      </c>
      <c r="M22" s="8" t="s">
        <v>10</v>
      </c>
      <c r="N22" s="8"/>
      <c r="O22" s="8"/>
      <c r="P22" s="9">
        <v>300</v>
      </c>
    </row>
    <row r="23" spans="1:16" x14ac:dyDescent="0.25">
      <c r="A23" s="8" t="s">
        <v>7</v>
      </c>
      <c r="B23" s="8">
        <f>C4</f>
        <v>13500</v>
      </c>
      <c r="C23" s="23">
        <f>C5</f>
        <v>0.56999999999999995</v>
      </c>
      <c r="D23" s="9">
        <f>C3</f>
        <v>7695</v>
      </c>
      <c r="F23" s="8" t="s">
        <v>7</v>
      </c>
      <c r="G23" s="8">
        <v>600</v>
      </c>
      <c r="H23" s="10">
        <f>D5</f>
        <v>14</v>
      </c>
      <c r="I23" s="10"/>
      <c r="J23" s="10"/>
      <c r="K23" s="9">
        <f>G23*H23</f>
        <v>8400</v>
      </c>
      <c r="M23" s="8" t="s">
        <v>7</v>
      </c>
      <c r="N23" s="8">
        <v>400</v>
      </c>
      <c r="O23" s="10">
        <v>14</v>
      </c>
      <c r="P23" s="9">
        <f>N23*O23</f>
        <v>5600</v>
      </c>
    </row>
    <row r="24" spans="1:16" x14ac:dyDescent="0.25">
      <c r="A24" s="20" t="s">
        <v>0</v>
      </c>
      <c r="B24" s="20">
        <f>B21</f>
        <v>13500</v>
      </c>
      <c r="C24" s="21">
        <f>D24/B24</f>
        <v>2.2999999999999998</v>
      </c>
      <c r="D24" s="21">
        <f>SUM(D21:D23)</f>
        <v>31050</v>
      </c>
      <c r="F24" s="20" t="s">
        <v>0</v>
      </c>
      <c r="G24" s="20">
        <f>G21</f>
        <v>600</v>
      </c>
      <c r="H24" s="21">
        <f>K24/G24</f>
        <v>15</v>
      </c>
      <c r="I24" s="21"/>
      <c r="J24" s="21"/>
      <c r="K24" s="21">
        <f>SUM(K21:K23)</f>
        <v>9000</v>
      </c>
      <c r="M24" s="20" t="s">
        <v>0</v>
      </c>
      <c r="N24" s="20">
        <f>N21</f>
        <v>400</v>
      </c>
      <c r="O24" s="21">
        <f>P24/N24</f>
        <v>16.5</v>
      </c>
      <c r="P24" s="21">
        <f>SUM(P21:P23)</f>
        <v>6600</v>
      </c>
    </row>
    <row r="25" spans="1:16" x14ac:dyDescent="0.25">
      <c r="F25" s="22"/>
    </row>
    <row r="30" spans="1:16" x14ac:dyDescent="0.25">
      <c r="A30" s="11" t="s">
        <v>46</v>
      </c>
    </row>
    <row r="31" spans="1:16" x14ac:dyDescent="0.25">
      <c r="B31" s="12" t="s">
        <v>2</v>
      </c>
      <c r="C31" s="12" t="s">
        <v>3</v>
      </c>
      <c r="D31" s="12" t="s">
        <v>4</v>
      </c>
    </row>
    <row r="32" spans="1:16" x14ac:dyDescent="0.25">
      <c r="A32" s="26" t="s">
        <v>48</v>
      </c>
      <c r="B32" s="25">
        <v>1500</v>
      </c>
      <c r="C32" s="25"/>
      <c r="D32" s="27">
        <v>3600</v>
      </c>
    </row>
    <row r="33" spans="1:20" x14ac:dyDescent="0.25">
      <c r="A33" s="4" t="s">
        <v>14</v>
      </c>
      <c r="B33" s="25">
        <f>+B24</f>
        <v>13500</v>
      </c>
      <c r="C33" s="25"/>
      <c r="D33" s="27">
        <f>+D24</f>
        <v>31050</v>
      </c>
    </row>
    <row r="34" spans="1:20" x14ac:dyDescent="0.25">
      <c r="A34" s="4" t="s">
        <v>0</v>
      </c>
      <c r="B34" s="25">
        <f>+B32+B33</f>
        <v>15000</v>
      </c>
      <c r="C34" s="28">
        <f>+D34/B34</f>
        <v>2.31</v>
      </c>
      <c r="D34" s="27">
        <f>+D32+D33</f>
        <v>34650</v>
      </c>
    </row>
    <row r="35" spans="1:20" x14ac:dyDescent="0.25">
      <c r="A35" s="15" t="s">
        <v>13</v>
      </c>
      <c r="B35" s="29">
        <f>B40+E40</f>
        <v>13256.25</v>
      </c>
      <c r="C35" s="30">
        <f>C34</f>
        <v>2.31</v>
      </c>
      <c r="D35" s="31">
        <f>B35*C35</f>
        <v>30621.9375</v>
      </c>
    </row>
    <row r="37" spans="1:20" x14ac:dyDescent="0.25">
      <c r="B37" t="s">
        <v>47</v>
      </c>
      <c r="C37">
        <v>600</v>
      </c>
      <c r="E37" t="s">
        <v>47</v>
      </c>
      <c r="F37">
        <v>400</v>
      </c>
      <c r="I37" s="74" t="s">
        <v>17</v>
      </c>
      <c r="J37" s="74"/>
    </row>
    <row r="38" spans="1:20" x14ac:dyDescent="0.25">
      <c r="A38" s="24">
        <v>600</v>
      </c>
      <c r="B38" s="4" t="s">
        <v>15</v>
      </c>
      <c r="C38" s="4"/>
      <c r="D38" s="4"/>
      <c r="E38" s="4" t="s">
        <v>16</v>
      </c>
      <c r="F38" s="24">
        <v>400</v>
      </c>
      <c r="G38" s="4"/>
      <c r="I38" s="4" t="s">
        <v>15</v>
      </c>
      <c r="J38" s="4" t="s">
        <v>16</v>
      </c>
      <c r="Q38" s="77" t="s">
        <v>54</v>
      </c>
      <c r="R38" s="77"/>
      <c r="S38" s="72" t="s">
        <v>57</v>
      </c>
      <c r="T38" s="72"/>
    </row>
    <row r="39" spans="1:20" x14ac:dyDescent="0.25">
      <c r="A39" s="8"/>
      <c r="B39" s="8" t="s">
        <v>2</v>
      </c>
      <c r="C39" s="8" t="s">
        <v>3</v>
      </c>
      <c r="D39" s="8" t="s">
        <v>4</v>
      </c>
      <c r="E39" s="8" t="s">
        <v>2</v>
      </c>
      <c r="F39" s="8" t="s">
        <v>3</v>
      </c>
      <c r="G39" s="8" t="s">
        <v>4</v>
      </c>
      <c r="I39" s="4">
        <v>600</v>
      </c>
      <c r="J39" s="4">
        <v>400</v>
      </c>
      <c r="Q39" s="19" t="s">
        <v>56</v>
      </c>
      <c r="R39" s="19" t="s">
        <v>55</v>
      </c>
      <c r="S39" s="48" t="s">
        <v>56</v>
      </c>
      <c r="T39" s="48" t="s">
        <v>55</v>
      </c>
    </row>
    <row r="40" spans="1:20" x14ac:dyDescent="0.25">
      <c r="A40" s="4" t="s">
        <v>5</v>
      </c>
      <c r="B40" s="62">
        <f>(A38-(Q44*N40)+(Q53*N49))*15</f>
        <v>8880</v>
      </c>
      <c r="C40" s="63">
        <f>C35</f>
        <v>2.31</v>
      </c>
      <c r="D40" s="63">
        <f>B40*C40</f>
        <v>20512.8</v>
      </c>
      <c r="E40" s="62">
        <f>(F38-S44*N40+N49*S53)*11.25</f>
        <v>4376.25</v>
      </c>
      <c r="F40" s="63">
        <f>C35</f>
        <v>2.31</v>
      </c>
      <c r="G40" s="63">
        <f>E40*F40</f>
        <v>10109.137500000001</v>
      </c>
      <c r="I40" s="4">
        <f>60*40%</f>
        <v>24</v>
      </c>
      <c r="J40" s="4"/>
      <c r="K40" t="s">
        <v>22</v>
      </c>
      <c r="N40" s="2">
        <v>0.6</v>
      </c>
      <c r="O40" t="s">
        <v>5</v>
      </c>
      <c r="P40" s="3">
        <v>2.4</v>
      </c>
      <c r="Q40" s="15">
        <v>15</v>
      </c>
      <c r="R40" s="49">
        <f>N40*P40*Q40</f>
        <v>21.599999999999998</v>
      </c>
      <c r="S40" s="50">
        <v>11.25</v>
      </c>
      <c r="T40" s="51">
        <f>N40*P40*S40</f>
        <v>16.2</v>
      </c>
    </row>
    <row r="41" spans="1:20" x14ac:dyDescent="0.25">
      <c r="A41" s="4" t="s">
        <v>8</v>
      </c>
      <c r="B41" s="64">
        <f>+A38</f>
        <v>600</v>
      </c>
      <c r="C41" s="63">
        <v>15</v>
      </c>
      <c r="D41" s="63">
        <f>+B41*C41</f>
        <v>9000</v>
      </c>
      <c r="E41" s="64">
        <f>+F38</f>
        <v>400</v>
      </c>
      <c r="F41" s="63">
        <v>16.5</v>
      </c>
      <c r="G41" s="63">
        <f>+E41*F41</f>
        <v>6600</v>
      </c>
      <c r="I41" s="4">
        <f>70*0.5</f>
        <v>35</v>
      </c>
      <c r="J41" s="4"/>
      <c r="K41" t="s">
        <v>49</v>
      </c>
      <c r="N41" s="2">
        <v>0.4</v>
      </c>
      <c r="O41" t="s">
        <v>19</v>
      </c>
      <c r="P41" s="1">
        <v>12</v>
      </c>
      <c r="Q41" s="52">
        <f>2/3</f>
        <v>0.66666666666666663</v>
      </c>
      <c r="R41" s="53">
        <f>N41*P41*Q41</f>
        <v>3.2</v>
      </c>
      <c r="S41" s="50">
        <v>1</v>
      </c>
      <c r="T41" s="54">
        <f>N41*P41*S41</f>
        <v>4.8000000000000007</v>
      </c>
    </row>
    <row r="42" spans="1:20" x14ac:dyDescent="0.25">
      <c r="A42" s="4" t="s">
        <v>19</v>
      </c>
      <c r="B42" s="65">
        <f>(600-Q44*N41+Q53*N50)*2/3</f>
        <v>407.33333333333331</v>
      </c>
      <c r="C42" s="63">
        <v>12</v>
      </c>
      <c r="D42" s="63">
        <f>+B42*C42</f>
        <v>4888</v>
      </c>
      <c r="E42" s="64">
        <f>(400-S44*N41+S53*N50)</f>
        <v>398.5</v>
      </c>
      <c r="F42" s="63">
        <v>12</v>
      </c>
      <c r="G42" s="63">
        <f>+E42*F42</f>
        <v>4782</v>
      </c>
      <c r="I42" s="4">
        <f>I39-I40+I41</f>
        <v>611</v>
      </c>
      <c r="J42" s="4"/>
      <c r="K42" t="s">
        <v>50</v>
      </c>
      <c r="N42" s="2">
        <v>0.5</v>
      </c>
      <c r="O42" t="s">
        <v>21</v>
      </c>
      <c r="P42" s="1">
        <v>52</v>
      </c>
      <c r="Q42" s="15">
        <v>1</v>
      </c>
      <c r="R42" s="53">
        <f>N42*P42*Q42</f>
        <v>26</v>
      </c>
      <c r="S42" s="50">
        <v>1</v>
      </c>
      <c r="T42" s="54">
        <f>N42*P42/S42</f>
        <v>26</v>
      </c>
    </row>
    <row r="43" spans="1:20" x14ac:dyDescent="0.25">
      <c r="A43" s="4" t="s">
        <v>20</v>
      </c>
      <c r="B43" s="64">
        <f>A38*0.1</f>
        <v>60</v>
      </c>
      <c r="C43" s="63">
        <v>13</v>
      </c>
      <c r="D43" s="63">
        <f>B43*C43</f>
        <v>780</v>
      </c>
      <c r="E43" s="64">
        <f>F38*0.2</f>
        <v>80</v>
      </c>
      <c r="F43" s="63">
        <v>13</v>
      </c>
      <c r="G43" s="63">
        <f>E43*F43</f>
        <v>1040</v>
      </c>
      <c r="I43" s="4">
        <f>40/60</f>
        <v>0.66666666666666663</v>
      </c>
      <c r="J43" s="4"/>
      <c r="K43" t="s">
        <v>51</v>
      </c>
      <c r="Q43" s="15"/>
      <c r="R43" s="49">
        <f>SUM(R40:R42)</f>
        <v>50.8</v>
      </c>
      <c r="S43" s="50"/>
      <c r="T43" s="51">
        <f>SUM(T40:T42)</f>
        <v>47</v>
      </c>
    </row>
    <row r="44" spans="1:20" x14ac:dyDescent="0.25">
      <c r="A44" s="4" t="s">
        <v>21</v>
      </c>
      <c r="B44" s="64">
        <f>+A38</f>
        <v>600</v>
      </c>
      <c r="C44" s="63">
        <f>E5</f>
        <v>55</v>
      </c>
      <c r="D44" s="63">
        <f>B44*C44</f>
        <v>33000</v>
      </c>
      <c r="E44" s="64">
        <f>+F38</f>
        <v>400</v>
      </c>
      <c r="F44" s="63">
        <f>E5</f>
        <v>55</v>
      </c>
      <c r="G44" s="63">
        <f>E44*F44</f>
        <v>22000</v>
      </c>
      <c r="I44" s="4">
        <f>I42*I43</f>
        <v>407.33333333333331</v>
      </c>
      <c r="J44" s="4"/>
      <c r="P44" s="47" t="s">
        <v>0</v>
      </c>
      <c r="Q44" s="43">
        <v>60</v>
      </c>
      <c r="R44" s="44">
        <f>+R43*Q44</f>
        <v>3048</v>
      </c>
      <c r="S44" s="45">
        <v>35</v>
      </c>
      <c r="T44" s="46">
        <f>T43*S44</f>
        <v>1645</v>
      </c>
    </row>
    <row r="45" spans="1:20" x14ac:dyDescent="0.25">
      <c r="A45" s="4" t="s">
        <v>18</v>
      </c>
      <c r="B45" s="64">
        <f>B43</f>
        <v>60</v>
      </c>
      <c r="C45" s="63">
        <f>F5</f>
        <v>40</v>
      </c>
      <c r="D45" s="63">
        <f>B45*C45</f>
        <v>2400</v>
      </c>
      <c r="E45" s="64">
        <f>E43</f>
        <v>80</v>
      </c>
      <c r="F45" s="63">
        <f>F5</f>
        <v>40</v>
      </c>
      <c r="G45" s="63">
        <f>E45*F45</f>
        <v>3200</v>
      </c>
      <c r="R45" s="41"/>
    </row>
    <row r="46" spans="1:20" x14ac:dyDescent="0.25">
      <c r="A46" s="4" t="s">
        <v>53</v>
      </c>
      <c r="B46" s="64"/>
      <c r="C46" s="63"/>
      <c r="D46" s="63">
        <f>SUM(D40:D45)</f>
        <v>70580.800000000003</v>
      </c>
      <c r="E46" s="64"/>
      <c r="F46" s="63"/>
      <c r="G46" s="63">
        <f>SUM(G40:G45)</f>
        <v>47731.137499999997</v>
      </c>
    </row>
    <row r="47" spans="1:20" x14ac:dyDescent="0.25">
      <c r="A47" s="4" t="s">
        <v>22</v>
      </c>
      <c r="B47" s="29">
        <f>Q44</f>
        <v>60</v>
      </c>
      <c r="C47" s="61">
        <f>R43</f>
        <v>50.8</v>
      </c>
      <c r="D47" s="31">
        <f>B47*C47</f>
        <v>3048</v>
      </c>
      <c r="E47" s="58">
        <f>S44</f>
        <v>35</v>
      </c>
      <c r="F47" s="59">
        <f>T43</f>
        <v>47</v>
      </c>
      <c r="G47" s="60">
        <f>E47*F47</f>
        <v>1645</v>
      </c>
      <c r="Q47" s="77" t="s">
        <v>54</v>
      </c>
      <c r="R47" s="77"/>
      <c r="S47" s="72" t="s">
        <v>57</v>
      </c>
      <c r="T47" s="72"/>
    </row>
    <row r="48" spans="1:20" x14ac:dyDescent="0.25">
      <c r="A48" s="4" t="s">
        <v>23</v>
      </c>
      <c r="B48" s="29">
        <f>-Q53</f>
        <v>-70</v>
      </c>
      <c r="C48" s="61">
        <f>R52</f>
        <v>39.86</v>
      </c>
      <c r="D48" s="31">
        <f>B48*C48</f>
        <v>-2790.2</v>
      </c>
      <c r="E48" s="58">
        <f>-S53</f>
        <v>-25</v>
      </c>
      <c r="F48" s="59">
        <f>T52</f>
        <v>38.395000000000003</v>
      </c>
      <c r="G48" s="60">
        <f>E48*F48</f>
        <v>-959.87500000000011</v>
      </c>
      <c r="P48" s="3"/>
      <c r="Q48" s="15"/>
      <c r="R48" s="15"/>
      <c r="S48" s="50"/>
      <c r="T48" s="50"/>
    </row>
    <row r="49" spans="1:20" x14ac:dyDescent="0.25">
      <c r="A49" s="4" t="s">
        <v>24</v>
      </c>
      <c r="B49" s="25">
        <f>+A38</f>
        <v>600</v>
      </c>
      <c r="C49" s="27">
        <f>D49/B49</f>
        <v>118.06433333333334</v>
      </c>
      <c r="D49" s="27">
        <f>D46+D47+D48</f>
        <v>70838.600000000006</v>
      </c>
      <c r="E49" s="25">
        <f>+F38</f>
        <v>400</v>
      </c>
      <c r="F49" s="27">
        <f>G49/E49</f>
        <v>121.04065625</v>
      </c>
      <c r="G49" s="27">
        <f>G46+G47+G48</f>
        <v>48416.262499999997</v>
      </c>
      <c r="N49" s="2">
        <v>0.4</v>
      </c>
      <c r="O49" t="s">
        <v>5</v>
      </c>
      <c r="P49" s="3">
        <v>2.31</v>
      </c>
      <c r="Q49" s="15">
        <v>15</v>
      </c>
      <c r="R49" s="49">
        <f>N49*P49*Q49</f>
        <v>13.860000000000001</v>
      </c>
      <c r="S49" s="50">
        <v>11.25</v>
      </c>
      <c r="T49" s="51">
        <f>+N49*P49*S49</f>
        <v>10.395000000000001</v>
      </c>
    </row>
    <row r="50" spans="1:20" x14ac:dyDescent="0.25">
      <c r="N50" s="2">
        <v>0.5</v>
      </c>
      <c r="O50" t="s">
        <v>19</v>
      </c>
      <c r="P50" s="1">
        <v>12</v>
      </c>
      <c r="Q50" s="52">
        <f>Q41</f>
        <v>0.66666666666666663</v>
      </c>
      <c r="R50" s="49">
        <f>N50*P50*Q50</f>
        <v>4</v>
      </c>
      <c r="S50" s="50">
        <v>1</v>
      </c>
      <c r="T50" s="51">
        <f t="shared" ref="T50:T51" si="1">+N50*P50*S50</f>
        <v>6</v>
      </c>
    </row>
    <row r="51" spans="1:20" x14ac:dyDescent="0.25">
      <c r="N51" s="2">
        <v>0.4</v>
      </c>
      <c r="O51" t="s">
        <v>21</v>
      </c>
      <c r="P51" s="1">
        <v>55</v>
      </c>
      <c r="Q51" s="15">
        <v>1</v>
      </c>
      <c r="R51" s="53">
        <f>N51*P51*Q51</f>
        <v>22</v>
      </c>
      <c r="S51" s="50">
        <v>1</v>
      </c>
      <c r="T51" s="51">
        <f t="shared" si="1"/>
        <v>22</v>
      </c>
    </row>
    <row r="52" spans="1:20" x14ac:dyDescent="0.25">
      <c r="Q52" s="55"/>
      <c r="R52" s="56">
        <f>SUM(R49:R51)</f>
        <v>39.86</v>
      </c>
      <c r="S52" s="50"/>
      <c r="T52" s="51">
        <f>SUM(T49:T51)</f>
        <v>38.395000000000003</v>
      </c>
    </row>
    <row r="53" spans="1:20" x14ac:dyDescent="0.25">
      <c r="A53" s="11" t="s">
        <v>25</v>
      </c>
      <c r="F53" s="11" t="s">
        <v>25</v>
      </c>
      <c r="P53" s="42" t="s">
        <v>0</v>
      </c>
      <c r="Q53" s="43">
        <v>70</v>
      </c>
      <c r="R53" s="44">
        <f>+R52*Q53</f>
        <v>2790.2</v>
      </c>
      <c r="S53" s="50">
        <v>25</v>
      </c>
      <c r="T53" s="57">
        <f>S53*T52</f>
        <v>959.87500000000011</v>
      </c>
    </row>
    <row r="54" spans="1:20" x14ac:dyDescent="0.25">
      <c r="B54" s="12" t="s">
        <v>2</v>
      </c>
      <c r="C54" s="12" t="s">
        <v>3</v>
      </c>
      <c r="D54" s="12" t="s">
        <v>4</v>
      </c>
      <c r="G54" s="12" t="s">
        <v>2</v>
      </c>
      <c r="H54" s="12" t="s">
        <v>3</v>
      </c>
      <c r="I54" s="12" t="s">
        <v>4</v>
      </c>
      <c r="R54" s="41"/>
    </row>
    <row r="55" spans="1:20" x14ac:dyDescent="0.25">
      <c r="A55" s="13" t="s">
        <v>12</v>
      </c>
      <c r="B55" s="4">
        <v>100</v>
      </c>
      <c r="C55" s="4"/>
      <c r="D55" s="5">
        <v>11000</v>
      </c>
      <c r="F55" s="13" t="s">
        <v>12</v>
      </c>
      <c r="G55" s="4">
        <v>200</v>
      </c>
      <c r="H55" s="4"/>
      <c r="I55" s="5">
        <v>24508</v>
      </c>
    </row>
    <row r="56" spans="1:20" x14ac:dyDescent="0.25">
      <c r="A56" s="4" t="s">
        <v>14</v>
      </c>
      <c r="B56" s="4">
        <f>B49</f>
        <v>600</v>
      </c>
      <c r="C56" s="4"/>
      <c r="D56" s="5">
        <f>D49</f>
        <v>70838.600000000006</v>
      </c>
      <c r="F56" s="4" t="s">
        <v>14</v>
      </c>
      <c r="G56" s="4">
        <f>+E49</f>
        <v>400</v>
      </c>
      <c r="H56" s="4"/>
      <c r="I56" s="5">
        <f>+G49</f>
        <v>48416.262499999997</v>
      </c>
    </row>
    <row r="57" spans="1:20" x14ac:dyDescent="0.25">
      <c r="A57" s="4" t="s">
        <v>0</v>
      </c>
      <c r="B57" s="4">
        <f>+B55+B56</f>
        <v>700</v>
      </c>
      <c r="C57" s="14">
        <f>+D57/B57</f>
        <v>116.91228571428572</v>
      </c>
      <c r="D57" s="5">
        <f>+D55+D56</f>
        <v>81838.600000000006</v>
      </c>
      <c r="F57" s="4" t="s">
        <v>0</v>
      </c>
      <c r="G57" s="4">
        <f>+G55+G56</f>
        <v>600</v>
      </c>
      <c r="H57" s="14">
        <f>+I57/G57</f>
        <v>121.5404375</v>
      </c>
      <c r="I57" s="5">
        <f>+I55+I56</f>
        <v>72924.262499999997</v>
      </c>
    </row>
    <row r="58" spans="1:20" x14ac:dyDescent="0.25">
      <c r="A58" s="4" t="s">
        <v>13</v>
      </c>
      <c r="B58" s="4">
        <v>650</v>
      </c>
      <c r="C58" s="7">
        <f>C57</f>
        <v>116.91228571428572</v>
      </c>
      <c r="D58" s="5">
        <f>B58*C58</f>
        <v>75992.985714285722</v>
      </c>
      <c r="F58" s="4" t="s">
        <v>13</v>
      </c>
      <c r="G58" s="4">
        <v>500</v>
      </c>
      <c r="H58" s="7">
        <f>H57</f>
        <v>121.5404375</v>
      </c>
      <c r="I58" s="5">
        <f>G58*H58</f>
        <v>60770.21875</v>
      </c>
    </row>
    <row r="61" spans="1:20" x14ac:dyDescent="0.25">
      <c r="A61" s="4">
        <v>650</v>
      </c>
      <c r="B61" s="4" t="s">
        <v>15</v>
      </c>
      <c r="C61" s="4"/>
      <c r="D61" s="4"/>
      <c r="E61" s="4" t="s">
        <v>16</v>
      </c>
      <c r="F61" s="4">
        <v>500</v>
      </c>
      <c r="G61" s="4"/>
    </row>
    <row r="62" spans="1:20" x14ac:dyDescent="0.25">
      <c r="A62" s="8"/>
      <c r="B62" s="8" t="s">
        <v>2</v>
      </c>
      <c r="C62" s="8" t="s">
        <v>3</v>
      </c>
      <c r="D62" s="8" t="s">
        <v>4</v>
      </c>
      <c r="E62" s="8" t="s">
        <v>2</v>
      </c>
      <c r="F62" s="8" t="s">
        <v>3</v>
      </c>
      <c r="G62" s="8" t="s">
        <v>4</v>
      </c>
    </row>
    <row r="63" spans="1:20" x14ac:dyDescent="0.25">
      <c r="A63" s="4" t="s">
        <v>26</v>
      </c>
      <c r="B63" s="62">
        <f>+B58</f>
        <v>650</v>
      </c>
      <c r="C63" s="66">
        <f>+C58</f>
        <v>116.91228571428572</v>
      </c>
      <c r="D63" s="66">
        <f>B63*C63</f>
        <v>75992.985714285722</v>
      </c>
      <c r="E63" s="62">
        <f>+G58</f>
        <v>500</v>
      </c>
      <c r="F63" s="67">
        <f>+H58</f>
        <v>121.5404375</v>
      </c>
      <c r="G63" s="67">
        <f>E63*F63</f>
        <v>60770.21875</v>
      </c>
      <c r="N63" s="35"/>
    </row>
    <row r="64" spans="1:20" x14ac:dyDescent="0.25">
      <c r="A64" s="4" t="s">
        <v>27</v>
      </c>
      <c r="B64" s="62">
        <f>C69*A61</f>
        <v>91000</v>
      </c>
      <c r="C64" s="68">
        <v>0.02</v>
      </c>
      <c r="D64" s="66">
        <f>+B64*C64</f>
        <v>1820</v>
      </c>
      <c r="E64" s="62">
        <f>150*500</f>
        <v>75000</v>
      </c>
      <c r="F64" s="69">
        <v>0.05</v>
      </c>
      <c r="G64" s="70">
        <f>+E64*F64</f>
        <v>3750</v>
      </c>
      <c r="N64" s="36"/>
    </row>
    <row r="65" spans="1:14" x14ac:dyDescent="0.25">
      <c r="A65" s="4" t="s">
        <v>28</v>
      </c>
      <c r="B65" s="62">
        <f>B63</f>
        <v>650</v>
      </c>
      <c r="C65" s="66">
        <f>G5</f>
        <v>14</v>
      </c>
      <c r="D65" s="66">
        <f>+B65*C65</f>
        <v>9100</v>
      </c>
      <c r="E65" s="62">
        <f>E63</f>
        <v>500</v>
      </c>
      <c r="F65" s="66">
        <f>C65</f>
        <v>14</v>
      </c>
      <c r="G65" s="66">
        <f>+E65*F65</f>
        <v>7000</v>
      </c>
      <c r="N65" s="36"/>
    </row>
    <row r="66" spans="1:14" x14ac:dyDescent="0.25">
      <c r="A66" s="4" t="s">
        <v>29</v>
      </c>
      <c r="B66" s="67">
        <f>D63</f>
        <v>75992.985714285722</v>
      </c>
      <c r="C66" s="66">
        <f>H5</f>
        <v>6.9481407935871223E-2</v>
      </c>
      <c r="D66" s="66">
        <f>B66*C66</f>
        <v>5280.0996406791201</v>
      </c>
      <c r="E66" s="67">
        <f>G63</f>
        <v>60770.21875</v>
      </c>
      <c r="F66" s="66">
        <f>C66</f>
        <v>6.9481407935871223E-2</v>
      </c>
      <c r="G66" s="66">
        <f>E66*F66</f>
        <v>4222.4003593208799</v>
      </c>
      <c r="N66" s="37"/>
    </row>
    <row r="67" spans="1:14" x14ac:dyDescent="0.25">
      <c r="A67" s="4" t="s">
        <v>24</v>
      </c>
      <c r="B67" s="62">
        <f>B63</f>
        <v>650</v>
      </c>
      <c r="C67" s="66">
        <f>D67/B67</f>
        <v>141.83551593071516</v>
      </c>
      <c r="D67" s="66">
        <f>SUM(D63:D66)</f>
        <v>92193.085354964845</v>
      </c>
      <c r="E67" s="62">
        <f>E63</f>
        <v>500</v>
      </c>
      <c r="F67" s="66">
        <f>G67/E67</f>
        <v>151.48523821864174</v>
      </c>
      <c r="G67" s="66">
        <f>SUM(G63:G66)</f>
        <v>75742.619109320876</v>
      </c>
      <c r="N67" s="38"/>
    </row>
    <row r="68" spans="1:14" x14ac:dyDescent="0.25">
      <c r="B68" s="41"/>
      <c r="C68" s="41"/>
      <c r="D68" s="41"/>
      <c r="E68" s="41"/>
      <c r="F68" s="41"/>
      <c r="G68" s="41"/>
    </row>
    <row r="69" spans="1:14" x14ac:dyDescent="0.25">
      <c r="A69" s="4" t="s">
        <v>30</v>
      </c>
      <c r="B69" s="62">
        <f>B63</f>
        <v>650</v>
      </c>
      <c r="C69" s="66">
        <v>140</v>
      </c>
      <c r="D69" s="66">
        <f>B69*C69</f>
        <v>91000</v>
      </c>
      <c r="E69" s="62">
        <f>E63</f>
        <v>500</v>
      </c>
      <c r="F69" s="66">
        <v>150</v>
      </c>
      <c r="G69" s="66">
        <f>E69*F69</f>
        <v>75000</v>
      </c>
    </row>
    <row r="70" spans="1:14" x14ac:dyDescent="0.25">
      <c r="B70" s="41"/>
      <c r="C70" s="41"/>
      <c r="D70" s="41"/>
      <c r="E70" s="41"/>
      <c r="F70" s="41"/>
      <c r="G70" s="41"/>
    </row>
    <row r="71" spans="1:14" x14ac:dyDescent="0.25">
      <c r="A71" s="4" t="s">
        <v>52</v>
      </c>
      <c r="B71" s="75"/>
      <c r="C71" s="76"/>
      <c r="D71" s="7">
        <f>D69-D67</f>
        <v>-1193.0853549648455</v>
      </c>
      <c r="E71" s="75"/>
      <c r="F71" s="76"/>
      <c r="G71" s="7">
        <f>G69-G67</f>
        <v>-742.6191093208763</v>
      </c>
      <c r="I71" s="39">
        <f>D71+G71</f>
        <v>-1935.7044642857218</v>
      </c>
    </row>
    <row r="75" spans="1:14" x14ac:dyDescent="0.25">
      <c r="D75" s="6"/>
    </row>
  </sheetData>
  <mergeCells count="8">
    <mergeCell ref="S38:T38"/>
    <mergeCell ref="S47:T47"/>
    <mergeCell ref="A19:P19"/>
    <mergeCell ref="I37:J37"/>
    <mergeCell ref="B71:C71"/>
    <mergeCell ref="E71:F71"/>
    <mergeCell ref="Q38:R38"/>
    <mergeCell ref="Q47:R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8EF0-28D3-436A-A20D-94E9FFDB759A}">
  <dimension ref="A2:T75"/>
  <sheetViews>
    <sheetView showGridLines="0" topLeftCell="A37" zoomScale="90" zoomScaleNormal="90" workbookViewId="0">
      <selection activeCell="C74" sqref="C74:E76"/>
    </sheetView>
  </sheetViews>
  <sheetFormatPr baseColWidth="10" defaultRowHeight="15" x14ac:dyDescent="0.25"/>
  <cols>
    <col min="1" max="1" width="41.42578125" bestFit="1" customWidth="1"/>
    <col min="2" max="2" width="19.140625" bestFit="1" customWidth="1"/>
    <col min="4" max="4" width="12.7109375" bestFit="1" customWidth="1"/>
    <col min="5" max="5" width="13.7109375" bestFit="1" customWidth="1"/>
    <col min="6" max="6" width="14.42578125" customWidth="1"/>
    <col min="7" max="7" width="14.85546875" customWidth="1"/>
    <col min="8" max="8" width="14.28515625" bestFit="1" customWidth="1"/>
    <col min="9" max="10" width="14.28515625" customWidth="1"/>
    <col min="11" max="11" width="12.7109375" bestFit="1" customWidth="1"/>
    <col min="12" max="12" width="15.85546875" customWidth="1"/>
    <col min="13" max="13" width="14.5703125" customWidth="1"/>
    <col min="14" max="14" width="7.5703125" customWidth="1"/>
    <col min="15" max="15" width="8.42578125" customWidth="1"/>
  </cols>
  <sheetData>
    <row r="2" spans="2:10" x14ac:dyDescent="0.25">
      <c r="B2" s="4"/>
      <c r="C2" s="4" t="s">
        <v>5</v>
      </c>
      <c r="D2" s="4" t="s">
        <v>31</v>
      </c>
      <c r="E2" s="4" t="s">
        <v>32</v>
      </c>
      <c r="F2" s="4" t="s">
        <v>33</v>
      </c>
      <c r="G2" s="4" t="s">
        <v>34</v>
      </c>
      <c r="H2" s="15" t="s">
        <v>35</v>
      </c>
      <c r="I2" s="32"/>
      <c r="J2" s="32"/>
    </row>
    <row r="3" spans="2:10" x14ac:dyDescent="0.25">
      <c r="B3" s="4" t="s">
        <v>7</v>
      </c>
      <c r="C3" s="4">
        <v>7695</v>
      </c>
      <c r="D3" s="4">
        <v>14000</v>
      </c>
      <c r="E3" s="4">
        <v>55000</v>
      </c>
      <c r="F3" s="4">
        <v>5600</v>
      </c>
      <c r="G3" s="4">
        <v>16100</v>
      </c>
      <c r="H3" s="15">
        <v>9502.5</v>
      </c>
      <c r="I3" s="32"/>
      <c r="J3" s="32"/>
    </row>
    <row r="4" spans="2:10" x14ac:dyDescent="0.25">
      <c r="B4" s="4" t="s">
        <v>36</v>
      </c>
      <c r="C4" s="4">
        <v>13500</v>
      </c>
      <c r="D4" s="4">
        <v>1000</v>
      </c>
      <c r="E4" s="4">
        <v>1000</v>
      </c>
      <c r="F4" s="4">
        <f>600*0.1+400*0.2</f>
        <v>140</v>
      </c>
      <c r="G4" s="4">
        <v>1150</v>
      </c>
      <c r="H4" s="17">
        <f>B66+E66</f>
        <v>133827.5</v>
      </c>
      <c r="I4" s="33"/>
      <c r="J4" s="33"/>
    </row>
    <row r="5" spans="2:10" x14ac:dyDescent="0.25">
      <c r="B5" s="4" t="s">
        <v>37</v>
      </c>
      <c r="C5" s="16">
        <f>C3/C4</f>
        <v>0.56999999999999995</v>
      </c>
      <c r="D5" s="16">
        <f t="shared" ref="D5:H5" si="0">D3/D4</f>
        <v>14</v>
      </c>
      <c r="E5" s="16">
        <f t="shared" si="0"/>
        <v>55</v>
      </c>
      <c r="F5" s="16">
        <f t="shared" si="0"/>
        <v>40</v>
      </c>
      <c r="G5" s="16">
        <f t="shared" si="0"/>
        <v>14</v>
      </c>
      <c r="H5" s="18">
        <f t="shared" si="0"/>
        <v>7.1005585548560651E-2</v>
      </c>
      <c r="I5" s="34"/>
      <c r="J5" s="34"/>
    </row>
    <row r="8" spans="2:10" x14ac:dyDescent="0.25">
      <c r="C8">
        <v>8880</v>
      </c>
      <c r="D8" t="s">
        <v>38</v>
      </c>
    </row>
    <row r="10" spans="2:10" x14ac:dyDescent="0.25">
      <c r="B10" t="s">
        <v>39</v>
      </c>
      <c r="D10">
        <v>600</v>
      </c>
    </row>
    <row r="11" spans="2:10" x14ac:dyDescent="0.25">
      <c r="B11" t="s">
        <v>40</v>
      </c>
      <c r="D11">
        <f>60*0.6</f>
        <v>36</v>
      </c>
      <c r="E11" t="s">
        <v>41</v>
      </c>
    </row>
    <row r="12" spans="2:10" x14ac:dyDescent="0.25">
      <c r="B12" t="s">
        <v>42</v>
      </c>
      <c r="D12">
        <f>70*0.4</f>
        <v>28</v>
      </c>
      <c r="E12" t="s">
        <v>43</v>
      </c>
    </row>
    <row r="14" spans="2:10" x14ac:dyDescent="0.25">
      <c r="D14">
        <f>D10-D11+D12</f>
        <v>592</v>
      </c>
      <c r="E14" t="s">
        <v>44</v>
      </c>
    </row>
    <row r="15" spans="2:10" x14ac:dyDescent="0.25">
      <c r="D15">
        <v>15</v>
      </c>
      <c r="E15" t="s">
        <v>45</v>
      </c>
    </row>
    <row r="16" spans="2:10" x14ac:dyDescent="0.25">
      <c r="D16">
        <f>D14*D15</f>
        <v>8880</v>
      </c>
    </row>
    <row r="19" spans="1:16" x14ac:dyDescent="0.25">
      <c r="A19" s="73" t="s">
        <v>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1:16" x14ac:dyDescent="0.25">
      <c r="A20" s="40"/>
      <c r="B20" s="40" t="s">
        <v>2</v>
      </c>
      <c r="C20" s="40" t="s">
        <v>3</v>
      </c>
      <c r="D20" s="40" t="s">
        <v>4</v>
      </c>
      <c r="F20" s="40"/>
      <c r="G20" s="40" t="s">
        <v>2</v>
      </c>
      <c r="H20" s="40" t="s">
        <v>3</v>
      </c>
      <c r="I20" s="40"/>
      <c r="J20" s="40"/>
      <c r="K20" s="40" t="s">
        <v>4</v>
      </c>
      <c r="M20" s="40"/>
      <c r="N20" s="40" t="s">
        <v>2</v>
      </c>
      <c r="O20" s="40" t="s">
        <v>3</v>
      </c>
      <c r="P20" s="40" t="s">
        <v>4</v>
      </c>
    </row>
    <row r="21" spans="1:16" x14ac:dyDescent="0.25">
      <c r="A21" s="19" t="s">
        <v>5</v>
      </c>
      <c r="B21" s="40">
        <v>13500</v>
      </c>
      <c r="C21" s="71">
        <v>1.0857204658429909</v>
      </c>
      <c r="D21" s="9">
        <f>B21*C21</f>
        <v>14657.226288880376</v>
      </c>
      <c r="F21" s="19" t="s">
        <v>9</v>
      </c>
      <c r="G21" s="40">
        <v>600</v>
      </c>
      <c r="H21" s="40"/>
      <c r="I21" s="40"/>
      <c r="J21" s="40"/>
      <c r="K21" s="9">
        <v>300</v>
      </c>
      <c r="M21" s="19" t="s">
        <v>11</v>
      </c>
      <c r="N21" s="40">
        <v>400</v>
      </c>
      <c r="O21" s="40">
        <v>1.75</v>
      </c>
      <c r="P21" s="9">
        <f>N21*O21</f>
        <v>700</v>
      </c>
    </row>
    <row r="22" spans="1:16" x14ac:dyDescent="0.25">
      <c r="A22" s="40" t="s">
        <v>6</v>
      </c>
      <c r="B22" s="40"/>
      <c r="C22" s="9"/>
      <c r="D22" s="9">
        <v>4995</v>
      </c>
      <c r="F22" s="40" t="s">
        <v>10</v>
      </c>
      <c r="G22" s="40"/>
      <c r="H22" s="40"/>
      <c r="I22" s="40"/>
      <c r="J22" s="40"/>
      <c r="K22" s="9">
        <v>300</v>
      </c>
      <c r="M22" s="40" t="s">
        <v>10</v>
      </c>
      <c r="N22" s="40"/>
      <c r="O22" s="40"/>
      <c r="P22" s="9">
        <v>300</v>
      </c>
    </row>
    <row r="23" spans="1:16" x14ac:dyDescent="0.25">
      <c r="A23" s="40" t="s">
        <v>7</v>
      </c>
      <c r="B23" s="40">
        <f>C4</f>
        <v>13500</v>
      </c>
      <c r="C23" s="23">
        <f>C5</f>
        <v>0.56999999999999995</v>
      </c>
      <c r="D23" s="9">
        <f>C3</f>
        <v>7695</v>
      </c>
      <c r="F23" s="40" t="s">
        <v>7</v>
      </c>
      <c r="G23" s="40">
        <v>600</v>
      </c>
      <c r="H23" s="10">
        <f>D5</f>
        <v>14</v>
      </c>
      <c r="I23" s="10"/>
      <c r="J23" s="10"/>
      <c r="K23" s="9">
        <f>G23*H23</f>
        <v>8400</v>
      </c>
      <c r="M23" s="40" t="s">
        <v>7</v>
      </c>
      <c r="N23" s="40">
        <v>400</v>
      </c>
      <c r="O23" s="10">
        <v>14</v>
      </c>
      <c r="P23" s="9">
        <f>N23*O23</f>
        <v>5600</v>
      </c>
    </row>
    <row r="24" spans="1:16" x14ac:dyDescent="0.25">
      <c r="A24" s="20" t="s">
        <v>0</v>
      </c>
      <c r="B24" s="20">
        <f>B21</f>
        <v>13500</v>
      </c>
      <c r="C24" s="21">
        <f>D24/B24</f>
        <v>2.0257204658429906</v>
      </c>
      <c r="D24" s="21">
        <f>SUM(D21:D23)</f>
        <v>27347.226288880374</v>
      </c>
      <c r="F24" s="20" t="s">
        <v>0</v>
      </c>
      <c r="G24" s="20">
        <f>G21</f>
        <v>600</v>
      </c>
      <c r="H24" s="21">
        <f>K24/G24</f>
        <v>15</v>
      </c>
      <c r="I24" s="21"/>
      <c r="J24" s="21"/>
      <c r="K24" s="21">
        <f>SUM(K21:K23)</f>
        <v>9000</v>
      </c>
      <c r="M24" s="20" t="s">
        <v>0</v>
      </c>
      <c r="N24" s="20">
        <f>N21</f>
        <v>400</v>
      </c>
      <c r="O24" s="21">
        <f>P24/N24</f>
        <v>16.5</v>
      </c>
      <c r="P24" s="21">
        <f>SUM(P21:P23)</f>
        <v>6600</v>
      </c>
    </row>
    <row r="25" spans="1:16" x14ac:dyDescent="0.25">
      <c r="F25" s="22"/>
    </row>
    <row r="30" spans="1:16" x14ac:dyDescent="0.25">
      <c r="A30" s="11" t="s">
        <v>46</v>
      </c>
    </row>
    <row r="31" spans="1:16" x14ac:dyDescent="0.25">
      <c r="B31" s="12" t="s">
        <v>2</v>
      </c>
      <c r="C31" s="12" t="s">
        <v>3</v>
      </c>
      <c r="D31" s="12" t="s">
        <v>4</v>
      </c>
    </row>
    <row r="32" spans="1:16" x14ac:dyDescent="0.25">
      <c r="A32" s="26" t="s">
        <v>48</v>
      </c>
      <c r="B32" s="25">
        <v>1500</v>
      </c>
      <c r="C32" s="25"/>
      <c r="D32" s="27">
        <v>3600</v>
      </c>
    </row>
    <row r="33" spans="1:20" x14ac:dyDescent="0.25">
      <c r="A33" s="4" t="s">
        <v>14</v>
      </c>
      <c r="B33" s="25">
        <f>+B24</f>
        <v>13500</v>
      </c>
      <c r="C33" s="25"/>
      <c r="D33" s="27">
        <f>+D24</f>
        <v>27347.226288880374</v>
      </c>
    </row>
    <row r="34" spans="1:20" x14ac:dyDescent="0.25">
      <c r="A34" s="4" t="s">
        <v>0</v>
      </c>
      <c r="B34" s="25">
        <f>+B32+B33</f>
        <v>15000</v>
      </c>
      <c r="C34" s="28">
        <f>+D34/B34</f>
        <v>2.0631484192586917</v>
      </c>
      <c r="D34" s="27">
        <f>+D32+D33</f>
        <v>30947.226288880374</v>
      </c>
    </row>
    <row r="35" spans="1:20" x14ac:dyDescent="0.25">
      <c r="A35" s="15" t="s">
        <v>13</v>
      </c>
      <c r="B35" s="29">
        <f>B40+E40</f>
        <v>13256.25</v>
      </c>
      <c r="C35" s="30">
        <f>C34</f>
        <v>2.0631484192586917</v>
      </c>
      <c r="D35" s="31">
        <f>B35*C35</f>
        <v>27349.611232798034</v>
      </c>
    </row>
    <row r="37" spans="1:20" x14ac:dyDescent="0.25">
      <c r="B37" t="s">
        <v>47</v>
      </c>
      <c r="C37">
        <v>600</v>
      </c>
      <c r="E37" t="s">
        <v>47</v>
      </c>
      <c r="F37">
        <v>400</v>
      </c>
      <c r="I37" s="74" t="s">
        <v>17</v>
      </c>
      <c r="J37" s="74"/>
    </row>
    <row r="38" spans="1:20" x14ac:dyDescent="0.25">
      <c r="A38" s="24">
        <v>600</v>
      </c>
      <c r="B38" s="4" t="s">
        <v>15</v>
      </c>
      <c r="C38" s="4"/>
      <c r="D38" s="4"/>
      <c r="E38" s="4" t="s">
        <v>16</v>
      </c>
      <c r="F38" s="24">
        <v>400</v>
      </c>
      <c r="G38" s="4"/>
      <c r="I38" s="4" t="s">
        <v>15</v>
      </c>
      <c r="J38" s="4" t="s">
        <v>16</v>
      </c>
      <c r="Q38" s="77" t="s">
        <v>54</v>
      </c>
      <c r="R38" s="77"/>
      <c r="S38" s="72" t="s">
        <v>57</v>
      </c>
      <c r="T38" s="72"/>
    </row>
    <row r="39" spans="1:20" x14ac:dyDescent="0.25">
      <c r="A39" s="40"/>
      <c r="B39" s="40" t="s">
        <v>2</v>
      </c>
      <c r="C39" s="40" t="s">
        <v>3</v>
      </c>
      <c r="D39" s="40" t="s">
        <v>4</v>
      </c>
      <c r="E39" s="40" t="s">
        <v>2</v>
      </c>
      <c r="F39" s="40" t="s">
        <v>3</v>
      </c>
      <c r="G39" s="40" t="s">
        <v>4</v>
      </c>
      <c r="I39" s="4">
        <v>600</v>
      </c>
      <c r="J39" s="4">
        <v>400</v>
      </c>
      <c r="Q39" s="19" t="s">
        <v>56</v>
      </c>
      <c r="R39" s="19" t="s">
        <v>55</v>
      </c>
      <c r="S39" s="48" t="s">
        <v>56</v>
      </c>
      <c r="T39" s="48" t="s">
        <v>55</v>
      </c>
    </row>
    <row r="40" spans="1:20" x14ac:dyDescent="0.25">
      <c r="A40" s="4" t="s">
        <v>5</v>
      </c>
      <c r="B40" s="62">
        <f>(A38-(Q44*N40)+(Q53*N49))*15</f>
        <v>8880</v>
      </c>
      <c r="C40" s="63">
        <f>C35</f>
        <v>2.0631484192586917</v>
      </c>
      <c r="D40" s="63">
        <f>B40*C40</f>
        <v>18320.757963017182</v>
      </c>
      <c r="E40" s="62">
        <f>(F38-S44*N40+N49*S53)*11.25</f>
        <v>4376.25</v>
      </c>
      <c r="F40" s="63">
        <f>C35</f>
        <v>2.0631484192586917</v>
      </c>
      <c r="G40" s="63">
        <f>E40*F40</f>
        <v>9028.8532697808496</v>
      </c>
      <c r="I40" s="4">
        <f>60*40%</f>
        <v>24</v>
      </c>
      <c r="J40" s="4"/>
      <c r="K40" t="s">
        <v>22</v>
      </c>
      <c r="N40" s="2">
        <v>0.6</v>
      </c>
      <c r="O40" t="s">
        <v>5</v>
      </c>
      <c r="P40" s="3">
        <v>2.4</v>
      </c>
      <c r="Q40" s="15">
        <v>15</v>
      </c>
      <c r="R40" s="49">
        <f>N40*P40*Q40</f>
        <v>21.599999999999998</v>
      </c>
      <c r="S40" s="50">
        <v>11.25</v>
      </c>
      <c r="T40" s="51">
        <f>N40*P40*S40</f>
        <v>16.2</v>
      </c>
    </row>
    <row r="41" spans="1:20" x14ac:dyDescent="0.25">
      <c r="A41" s="4" t="s">
        <v>8</v>
      </c>
      <c r="B41" s="64">
        <f>+A38</f>
        <v>600</v>
      </c>
      <c r="C41" s="63">
        <v>15</v>
      </c>
      <c r="D41" s="63">
        <f>+B41*C41</f>
        <v>9000</v>
      </c>
      <c r="E41" s="64">
        <f>+F38</f>
        <v>400</v>
      </c>
      <c r="F41" s="63">
        <v>16.5</v>
      </c>
      <c r="G41" s="63">
        <f>+E41*F41</f>
        <v>6600</v>
      </c>
      <c r="I41" s="4">
        <f>70*0.5</f>
        <v>35</v>
      </c>
      <c r="J41" s="4"/>
      <c r="K41" t="s">
        <v>49</v>
      </c>
      <c r="N41" s="2">
        <v>0.4</v>
      </c>
      <c r="O41" t="s">
        <v>19</v>
      </c>
      <c r="P41" s="1">
        <v>12</v>
      </c>
      <c r="Q41" s="52">
        <f>2/3</f>
        <v>0.66666666666666663</v>
      </c>
      <c r="R41" s="53">
        <f>N41*P41*Q41</f>
        <v>3.2</v>
      </c>
      <c r="S41" s="50">
        <v>1</v>
      </c>
      <c r="T41" s="54">
        <f>N41*P41*S41</f>
        <v>4.8000000000000007</v>
      </c>
    </row>
    <row r="42" spans="1:20" x14ac:dyDescent="0.25">
      <c r="A42" s="4" t="s">
        <v>19</v>
      </c>
      <c r="B42" s="65">
        <f>(600-Q44*N41+Q53*N50)*2/3</f>
        <v>407.33333333333331</v>
      </c>
      <c r="C42" s="63">
        <v>12</v>
      </c>
      <c r="D42" s="63">
        <f>+B42*C42</f>
        <v>4888</v>
      </c>
      <c r="E42" s="64">
        <f>(400-S44*N41+S53*N50)</f>
        <v>398.5</v>
      </c>
      <c r="F42" s="63">
        <v>12</v>
      </c>
      <c r="G42" s="63">
        <f>+E42*F42</f>
        <v>4782</v>
      </c>
      <c r="I42" s="4">
        <f>I39-I40+I41</f>
        <v>611</v>
      </c>
      <c r="J42" s="4"/>
      <c r="K42" t="s">
        <v>50</v>
      </c>
      <c r="N42" s="2">
        <v>0.5</v>
      </c>
      <c r="O42" t="s">
        <v>21</v>
      </c>
      <c r="P42" s="1">
        <v>52</v>
      </c>
      <c r="Q42" s="15">
        <v>1</v>
      </c>
      <c r="R42" s="53">
        <f>N42*P42*Q42</f>
        <v>26</v>
      </c>
      <c r="S42" s="50">
        <v>1</v>
      </c>
      <c r="T42" s="54">
        <f>N42*P42/S42</f>
        <v>26</v>
      </c>
    </row>
    <row r="43" spans="1:20" x14ac:dyDescent="0.25">
      <c r="A43" s="4" t="s">
        <v>20</v>
      </c>
      <c r="B43" s="64">
        <f>A38*0.1</f>
        <v>60</v>
      </c>
      <c r="C43" s="63">
        <v>13</v>
      </c>
      <c r="D43" s="63">
        <f>B43*C43</f>
        <v>780</v>
      </c>
      <c r="E43" s="64">
        <f>F38*0.2</f>
        <v>80</v>
      </c>
      <c r="F43" s="63">
        <v>13</v>
      </c>
      <c r="G43" s="63">
        <f>E43*F43</f>
        <v>1040</v>
      </c>
      <c r="I43" s="4">
        <f>40/60</f>
        <v>0.66666666666666663</v>
      </c>
      <c r="J43" s="4"/>
      <c r="K43" t="s">
        <v>51</v>
      </c>
      <c r="Q43" s="15"/>
      <c r="R43" s="49">
        <f>SUM(R40:R42)</f>
        <v>50.8</v>
      </c>
      <c r="S43" s="50"/>
      <c r="T43" s="51">
        <f>SUM(T40:T42)</f>
        <v>47</v>
      </c>
    </row>
    <row r="44" spans="1:20" x14ac:dyDescent="0.25">
      <c r="A44" s="4" t="s">
        <v>21</v>
      </c>
      <c r="B44" s="64">
        <f>+A38</f>
        <v>600</v>
      </c>
      <c r="C44" s="63">
        <f>E5</f>
        <v>55</v>
      </c>
      <c r="D44" s="63">
        <f>B44*C44</f>
        <v>33000</v>
      </c>
      <c r="E44" s="64">
        <f>+F38</f>
        <v>400</v>
      </c>
      <c r="F44" s="63">
        <f>E5</f>
        <v>55</v>
      </c>
      <c r="G44" s="63">
        <f>E44*F44</f>
        <v>22000</v>
      </c>
      <c r="I44" s="4">
        <f>I42*I43</f>
        <v>407.33333333333331</v>
      </c>
      <c r="J44" s="4"/>
      <c r="P44" s="47" t="s">
        <v>0</v>
      </c>
      <c r="Q44" s="43">
        <v>60</v>
      </c>
      <c r="R44" s="44">
        <f>+R43*Q44</f>
        <v>3048</v>
      </c>
      <c r="S44" s="45">
        <v>35</v>
      </c>
      <c r="T44" s="46">
        <f>T43*S44</f>
        <v>1645</v>
      </c>
    </row>
    <row r="45" spans="1:20" x14ac:dyDescent="0.25">
      <c r="A45" s="4" t="s">
        <v>18</v>
      </c>
      <c r="B45" s="64">
        <f>B43</f>
        <v>60</v>
      </c>
      <c r="C45" s="63">
        <f>F5</f>
        <v>40</v>
      </c>
      <c r="D45" s="63">
        <f>B45*C45</f>
        <v>2400</v>
      </c>
      <c r="E45" s="64">
        <f>E43</f>
        <v>80</v>
      </c>
      <c r="F45" s="63">
        <f>F5</f>
        <v>40</v>
      </c>
      <c r="G45" s="63">
        <f>E45*F45</f>
        <v>3200</v>
      </c>
      <c r="R45" s="41"/>
    </row>
    <row r="46" spans="1:20" x14ac:dyDescent="0.25">
      <c r="A46" s="4" t="s">
        <v>53</v>
      </c>
      <c r="B46" s="64"/>
      <c r="C46" s="63"/>
      <c r="D46" s="63">
        <f>SUM(D40:D45)</f>
        <v>68388.757963017182</v>
      </c>
      <c r="E46" s="64"/>
      <c r="F46" s="63"/>
      <c r="G46" s="63">
        <f>SUM(G40:G45)</f>
        <v>46650.853269780848</v>
      </c>
    </row>
    <row r="47" spans="1:20" x14ac:dyDescent="0.25">
      <c r="A47" s="4" t="s">
        <v>22</v>
      </c>
      <c r="B47" s="29">
        <f>Q44</f>
        <v>60</v>
      </c>
      <c r="C47" s="61">
        <f>R43</f>
        <v>50.8</v>
      </c>
      <c r="D47" s="31">
        <f>B47*C47</f>
        <v>3048</v>
      </c>
      <c r="E47" s="58">
        <f>S44</f>
        <v>35</v>
      </c>
      <c r="F47" s="59">
        <f>T43</f>
        <v>47</v>
      </c>
      <c r="G47" s="60">
        <f>E47*F47</f>
        <v>1645</v>
      </c>
      <c r="Q47" s="77" t="s">
        <v>54</v>
      </c>
      <c r="R47" s="77"/>
      <c r="S47" s="72" t="s">
        <v>57</v>
      </c>
      <c r="T47" s="72"/>
    </row>
    <row r="48" spans="1:20" x14ac:dyDescent="0.25">
      <c r="A48" s="4" t="s">
        <v>23</v>
      </c>
      <c r="B48" s="29">
        <f>-Q53</f>
        <v>-70</v>
      </c>
      <c r="C48" s="61">
        <f>R52</f>
        <v>39.86</v>
      </c>
      <c r="D48" s="31">
        <f>B48*C48</f>
        <v>-2790.2</v>
      </c>
      <c r="E48" s="58">
        <f>-S53</f>
        <v>-25</v>
      </c>
      <c r="F48" s="59">
        <f>T52</f>
        <v>38.395000000000003</v>
      </c>
      <c r="G48" s="60">
        <f>E48*F48</f>
        <v>-959.87500000000011</v>
      </c>
      <c r="P48" s="3"/>
      <c r="Q48" s="15"/>
      <c r="R48" s="15"/>
      <c r="S48" s="50"/>
      <c r="T48" s="50"/>
    </row>
    <row r="49" spans="1:20" x14ac:dyDescent="0.25">
      <c r="A49" s="4" t="s">
        <v>24</v>
      </c>
      <c r="B49" s="25">
        <f>+A38</f>
        <v>600</v>
      </c>
      <c r="C49" s="27">
        <f>D49/B49</f>
        <v>114.41092993836197</v>
      </c>
      <c r="D49" s="27">
        <f>D46+D47+D48</f>
        <v>68646.557963017185</v>
      </c>
      <c r="E49" s="25">
        <f>+F38</f>
        <v>400</v>
      </c>
      <c r="F49" s="27">
        <f>G49/E49</f>
        <v>118.33994567445212</v>
      </c>
      <c r="G49" s="27">
        <f>G46+G47+G48</f>
        <v>47335.978269780848</v>
      </c>
      <c r="N49" s="2">
        <v>0.4</v>
      </c>
      <c r="O49" t="s">
        <v>5</v>
      </c>
      <c r="P49" s="3">
        <v>2.31</v>
      </c>
      <c r="Q49" s="15">
        <v>15</v>
      </c>
      <c r="R49" s="49">
        <f>N49*P49*Q49</f>
        <v>13.860000000000001</v>
      </c>
      <c r="S49" s="50">
        <v>11.25</v>
      </c>
      <c r="T49" s="51">
        <f>+N49*P49*S49</f>
        <v>10.395000000000001</v>
      </c>
    </row>
    <row r="50" spans="1:20" x14ac:dyDescent="0.25">
      <c r="N50" s="2">
        <v>0.5</v>
      </c>
      <c r="O50" t="s">
        <v>19</v>
      </c>
      <c r="P50" s="1">
        <v>12</v>
      </c>
      <c r="Q50" s="52">
        <f>Q41</f>
        <v>0.66666666666666663</v>
      </c>
      <c r="R50" s="49">
        <f>N50*P50*Q50</f>
        <v>4</v>
      </c>
      <c r="S50" s="50">
        <v>1</v>
      </c>
      <c r="T50" s="51">
        <f t="shared" ref="T50:T51" si="1">+N50*P50*S50</f>
        <v>6</v>
      </c>
    </row>
    <row r="51" spans="1:20" x14ac:dyDescent="0.25">
      <c r="N51" s="2">
        <v>0.4</v>
      </c>
      <c r="O51" t="s">
        <v>21</v>
      </c>
      <c r="P51" s="1">
        <v>55</v>
      </c>
      <c r="Q51" s="15">
        <v>1</v>
      </c>
      <c r="R51" s="53">
        <f>N51*P51*Q51</f>
        <v>22</v>
      </c>
      <c r="S51" s="50">
        <v>1</v>
      </c>
      <c r="T51" s="51">
        <f t="shared" si="1"/>
        <v>22</v>
      </c>
    </row>
    <row r="52" spans="1:20" x14ac:dyDescent="0.25">
      <c r="Q52" s="55"/>
      <c r="R52" s="56">
        <f>SUM(R49:R51)</f>
        <v>39.86</v>
      </c>
      <c r="S52" s="50"/>
      <c r="T52" s="51">
        <f>SUM(T49:T51)</f>
        <v>38.395000000000003</v>
      </c>
    </row>
    <row r="53" spans="1:20" x14ac:dyDescent="0.25">
      <c r="A53" s="11" t="s">
        <v>25</v>
      </c>
      <c r="F53" s="11" t="s">
        <v>25</v>
      </c>
      <c r="P53" s="42" t="s">
        <v>0</v>
      </c>
      <c r="Q53" s="43">
        <v>70</v>
      </c>
      <c r="R53" s="44">
        <f>+R52*Q53</f>
        <v>2790.2</v>
      </c>
      <c r="S53" s="50">
        <v>25</v>
      </c>
      <c r="T53" s="57">
        <f>S53*T52</f>
        <v>959.87500000000011</v>
      </c>
    </row>
    <row r="54" spans="1:20" x14ac:dyDescent="0.25">
      <c r="B54" s="12" t="s">
        <v>2</v>
      </c>
      <c r="C54" s="12" t="s">
        <v>3</v>
      </c>
      <c r="D54" s="12" t="s">
        <v>4</v>
      </c>
      <c r="G54" s="12" t="s">
        <v>2</v>
      </c>
      <c r="H54" s="12" t="s">
        <v>3</v>
      </c>
      <c r="I54" s="12" t="s">
        <v>4</v>
      </c>
      <c r="R54" s="41"/>
    </row>
    <row r="55" spans="1:20" x14ac:dyDescent="0.25">
      <c r="A55" s="13" t="s">
        <v>12</v>
      </c>
      <c r="B55" s="4">
        <v>100</v>
      </c>
      <c r="C55" s="4"/>
      <c r="D55" s="5">
        <v>11000</v>
      </c>
      <c r="F55" s="13" t="s">
        <v>12</v>
      </c>
      <c r="G55" s="4">
        <v>200</v>
      </c>
      <c r="H55" s="4"/>
      <c r="I55" s="5">
        <v>24508</v>
      </c>
    </row>
    <row r="56" spans="1:20" x14ac:dyDescent="0.25">
      <c r="A56" s="4" t="s">
        <v>14</v>
      </c>
      <c r="B56" s="4">
        <f>B49</f>
        <v>600</v>
      </c>
      <c r="C56" s="4"/>
      <c r="D56" s="5">
        <f>D49</f>
        <v>68646.557963017185</v>
      </c>
      <c r="F56" s="4" t="s">
        <v>14</v>
      </c>
      <c r="G56" s="4">
        <f>+E49</f>
        <v>400</v>
      </c>
      <c r="H56" s="4"/>
      <c r="I56" s="5">
        <f>+G49</f>
        <v>47335.978269780848</v>
      </c>
    </row>
    <row r="57" spans="1:20" x14ac:dyDescent="0.25">
      <c r="A57" s="4" t="s">
        <v>0</v>
      </c>
      <c r="B57" s="4">
        <f>+B55+B56</f>
        <v>700</v>
      </c>
      <c r="C57" s="14">
        <f>+D57/B57</f>
        <v>113.78079709002455</v>
      </c>
      <c r="D57" s="5">
        <f>+D55+D56</f>
        <v>79646.557963017185</v>
      </c>
      <c r="F57" s="4" t="s">
        <v>0</v>
      </c>
      <c r="G57" s="4">
        <f>+G55+G56</f>
        <v>600</v>
      </c>
      <c r="H57" s="14">
        <f>+I57/G57</f>
        <v>119.73996378296806</v>
      </c>
      <c r="I57" s="5">
        <f>+I55+I56</f>
        <v>71843.97826978084</v>
      </c>
    </row>
    <row r="58" spans="1:20" x14ac:dyDescent="0.25">
      <c r="A58" s="4" t="s">
        <v>13</v>
      </c>
      <c r="B58" s="4">
        <v>650</v>
      </c>
      <c r="C58" s="7">
        <f>C57</f>
        <v>113.78079709002455</v>
      </c>
      <c r="D58" s="5">
        <f>B58*C58</f>
        <v>73957.518108515957</v>
      </c>
      <c r="F58" s="4" t="s">
        <v>13</v>
      </c>
      <c r="G58" s="4">
        <v>500</v>
      </c>
      <c r="H58" s="7">
        <f>H57</f>
        <v>119.73996378296806</v>
      </c>
      <c r="I58" s="5">
        <f>G58*H58</f>
        <v>59869.981891484029</v>
      </c>
    </row>
    <row r="61" spans="1:20" x14ac:dyDescent="0.25">
      <c r="A61" s="4">
        <v>650</v>
      </c>
      <c r="B61" s="4" t="s">
        <v>15</v>
      </c>
      <c r="C61" s="4"/>
      <c r="D61" s="4"/>
      <c r="E61" s="4" t="s">
        <v>16</v>
      </c>
      <c r="F61" s="4">
        <v>500</v>
      </c>
      <c r="G61" s="4"/>
    </row>
    <row r="62" spans="1:20" x14ac:dyDescent="0.25">
      <c r="A62" s="40"/>
      <c r="B62" s="40" t="s">
        <v>2</v>
      </c>
      <c r="C62" s="40" t="s">
        <v>3</v>
      </c>
      <c r="D62" s="40" t="s">
        <v>4</v>
      </c>
      <c r="E62" s="40" t="s">
        <v>2</v>
      </c>
      <c r="F62" s="40" t="s">
        <v>3</v>
      </c>
      <c r="G62" s="40" t="s">
        <v>4</v>
      </c>
    </row>
    <row r="63" spans="1:20" x14ac:dyDescent="0.25">
      <c r="A63" s="4" t="s">
        <v>26</v>
      </c>
      <c r="B63" s="62">
        <f>+B58</f>
        <v>650</v>
      </c>
      <c r="C63" s="66">
        <f>+C58</f>
        <v>113.78079709002455</v>
      </c>
      <c r="D63" s="66">
        <f>B63*C63</f>
        <v>73957.518108515957</v>
      </c>
      <c r="E63" s="62">
        <f>+G58</f>
        <v>500</v>
      </c>
      <c r="F63" s="67">
        <f>+H58</f>
        <v>119.73996378296806</v>
      </c>
      <c r="G63" s="67">
        <f>E63*F63</f>
        <v>59869.981891484029</v>
      </c>
      <c r="N63" s="35"/>
    </row>
    <row r="64" spans="1:20" x14ac:dyDescent="0.25">
      <c r="A64" s="4" t="s">
        <v>27</v>
      </c>
      <c r="B64" s="62">
        <f>C69*A61</f>
        <v>91000</v>
      </c>
      <c r="C64" s="68">
        <v>0.02</v>
      </c>
      <c r="D64" s="66">
        <f>+B64*C64</f>
        <v>1820</v>
      </c>
      <c r="E64" s="62">
        <f>150*500</f>
        <v>75000</v>
      </c>
      <c r="F64" s="69">
        <v>0.05</v>
      </c>
      <c r="G64" s="70">
        <f>+E64*F64</f>
        <v>3750</v>
      </c>
      <c r="N64" s="36"/>
    </row>
    <row r="65" spans="1:14" x14ac:dyDescent="0.25">
      <c r="A65" s="4" t="s">
        <v>28</v>
      </c>
      <c r="B65" s="62">
        <f>B63</f>
        <v>650</v>
      </c>
      <c r="C65" s="66">
        <f>G5</f>
        <v>14</v>
      </c>
      <c r="D65" s="66">
        <f>+B65*C65</f>
        <v>9100</v>
      </c>
      <c r="E65" s="62">
        <f>E63</f>
        <v>500</v>
      </c>
      <c r="F65" s="66">
        <f>C65</f>
        <v>14</v>
      </c>
      <c r="G65" s="66">
        <f>+E65*F65</f>
        <v>7000</v>
      </c>
      <c r="N65" s="36"/>
    </row>
    <row r="66" spans="1:14" x14ac:dyDescent="0.25">
      <c r="A66" s="4" t="s">
        <v>29</v>
      </c>
      <c r="B66" s="67">
        <f>D63</f>
        <v>73957.518108515957</v>
      </c>
      <c r="C66" s="66">
        <f>H5</f>
        <v>7.1005585548560651E-2</v>
      </c>
      <c r="D66" s="66">
        <f>B66*C66</f>
        <v>5251.3968790134531</v>
      </c>
      <c r="E66" s="67">
        <f>G63</f>
        <v>59869.981891484029</v>
      </c>
      <c r="F66" s="66">
        <f>C66</f>
        <v>7.1005585548560651E-2</v>
      </c>
      <c r="G66" s="66">
        <f>E66*F66</f>
        <v>4251.1031209865459</v>
      </c>
      <c r="N66" s="37"/>
    </row>
    <row r="67" spans="1:14" x14ac:dyDescent="0.25">
      <c r="A67" s="4" t="s">
        <v>24</v>
      </c>
      <c r="B67" s="62">
        <f>B63</f>
        <v>650</v>
      </c>
      <c r="C67" s="66">
        <f>D67/B67</f>
        <v>138.6598692115837</v>
      </c>
      <c r="D67" s="66">
        <f>SUM(D63:D66)</f>
        <v>90128.91498752941</v>
      </c>
      <c r="E67" s="62">
        <f>E63</f>
        <v>500</v>
      </c>
      <c r="F67" s="66">
        <f>G67/E67</f>
        <v>149.74217002494115</v>
      </c>
      <c r="G67" s="66">
        <f>SUM(G63:G66)</f>
        <v>74871.085012470576</v>
      </c>
      <c r="N67" s="38"/>
    </row>
    <row r="68" spans="1:14" x14ac:dyDescent="0.25">
      <c r="B68" s="41"/>
      <c r="C68" s="41"/>
      <c r="D68" s="41"/>
      <c r="E68" s="41"/>
      <c r="F68" s="41"/>
      <c r="G68" s="41"/>
    </row>
    <row r="69" spans="1:14" x14ac:dyDescent="0.25">
      <c r="A69" s="4" t="s">
        <v>30</v>
      </c>
      <c r="B69" s="62">
        <f>B63</f>
        <v>650</v>
      </c>
      <c r="C69" s="66">
        <v>140</v>
      </c>
      <c r="D69" s="66">
        <f>B69*C69</f>
        <v>91000</v>
      </c>
      <c r="E69" s="62">
        <f>E63</f>
        <v>500</v>
      </c>
      <c r="F69" s="66">
        <v>150</v>
      </c>
      <c r="G69" s="66">
        <f>E69*F69</f>
        <v>75000</v>
      </c>
    </row>
    <row r="70" spans="1:14" x14ac:dyDescent="0.25">
      <c r="B70" s="41"/>
      <c r="C70" s="41"/>
      <c r="D70" s="41"/>
      <c r="E70" s="41"/>
      <c r="F70" s="41"/>
      <c r="G70" s="41"/>
    </row>
    <row r="71" spans="1:14" x14ac:dyDescent="0.25">
      <c r="A71" s="4" t="s">
        <v>52</v>
      </c>
      <c r="B71" s="75"/>
      <c r="C71" s="76"/>
      <c r="D71" s="7">
        <f>D69-D67</f>
        <v>871.0850124705903</v>
      </c>
      <c r="E71" s="75"/>
      <c r="F71" s="76"/>
      <c r="G71" s="7">
        <f>G69-G67</f>
        <v>128.91498752942425</v>
      </c>
      <c r="I71" s="39">
        <f>D71+G71</f>
        <v>1000.0000000000146</v>
      </c>
    </row>
    <row r="75" spans="1:14" x14ac:dyDescent="0.25">
      <c r="D75" s="6"/>
    </row>
  </sheetData>
  <mergeCells count="8">
    <mergeCell ref="B71:C71"/>
    <mergeCell ref="E71:F71"/>
    <mergeCell ref="S38:T38"/>
    <mergeCell ref="S47:T47"/>
    <mergeCell ref="A19:P19"/>
    <mergeCell ref="I37:J37"/>
    <mergeCell ref="Q38:R38"/>
    <mergeCell ref="Q47:R4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697A0-2749-4F23-8021-5C89178FE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21F6E-F540-46C2-BD13-24223B683C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6E21E-D1F5-4FC5-B9CF-E38354FEA22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Coût Octobre</vt:lpstr>
      <vt:lpstr>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2022-09-19T06:51:27Z</dcterms:created>
  <dcterms:modified xsi:type="dcterms:W3CDTF">2022-10-11T11:12:45Z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188b76dc-aeb3-4138-a372-6833b8fe1f4a</vt:lpwstr>
  </property>
</Properties>
</file>