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2\CG2P\R4 CG2P09\Thème 2 Plan d'investissement et de financement\"/>
    </mc:Choice>
  </mc:AlternateContent>
  <xr:revisionPtr revIDLastSave="91" documentId="8_{2B7405A6-9ECC-490E-B445-A46AD94C61F0}" xr6:coauthVersionLast="36" xr6:coauthVersionMax="47" xr10:uidLastSave="{004537BE-0707-494E-9331-8C2E76C8BA64}"/>
  <bookViews>
    <workbookView xWindow="-120" yWindow="-120" windowWidth="29040" windowHeight="15840" xr2:uid="{2F688460-B814-4EC8-9D88-B2C16C967FAD}"/>
  </bookViews>
  <sheets>
    <sheet name="Exercice 1 " sheetId="1" r:id="rId1"/>
    <sheet name="Exercice 2" sheetId="2" r:id="rId2"/>
    <sheet name="Exercice 3" sheetId="3" r:id="rId3"/>
    <sheet name="Exercice 4" sheetId="4" r:id="rId4"/>
    <sheet name="Exercice 5" sheetId="5" r:id="rId5"/>
    <sheet name="Exercice synthèse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32" i="2" l="1"/>
  <c r="C29" i="2" s="1"/>
  <c r="B15" i="5"/>
  <c r="B10" i="3"/>
  <c r="B9" i="3"/>
  <c r="G28" i="6" l="1"/>
  <c r="F28" i="6"/>
  <c r="E28" i="6"/>
  <c r="D28" i="6"/>
  <c r="C28" i="6"/>
  <c r="B27" i="6"/>
  <c r="B28" i="6" s="1"/>
  <c r="B25" i="6"/>
  <c r="I22" i="6"/>
  <c r="B14" i="6"/>
  <c r="F13" i="6"/>
  <c r="E13" i="6"/>
  <c r="D13" i="6"/>
  <c r="C13" i="6"/>
  <c r="B13" i="6"/>
  <c r="F12" i="6"/>
  <c r="E12" i="6"/>
  <c r="D12" i="6"/>
  <c r="C12" i="6"/>
  <c r="B12" i="6"/>
  <c r="B29" i="6" l="1"/>
  <c r="B15" i="6"/>
  <c r="B16" i="6" s="1"/>
  <c r="B17" i="6" s="1"/>
  <c r="B18" i="6" s="1"/>
  <c r="C23" i="6" s="1"/>
  <c r="C25" i="6" s="1"/>
  <c r="C29" i="6" s="1"/>
  <c r="B30" i="6"/>
  <c r="C14" i="6"/>
  <c r="D14" i="6" s="1"/>
  <c r="E14" i="6" s="1"/>
  <c r="F14" i="6" s="1"/>
  <c r="F15" i="6" s="1"/>
  <c r="G12" i="6"/>
  <c r="E15" i="6" l="1"/>
  <c r="E16" i="6" s="1"/>
  <c r="E17" i="6" s="1"/>
  <c r="E18" i="6" s="1"/>
  <c r="F23" i="6" s="1"/>
  <c r="F25" i="6" s="1"/>
  <c r="F29" i="6" s="1"/>
  <c r="F30" i="6" s="1"/>
  <c r="C15" i="6"/>
  <c r="C16" i="6" s="1"/>
  <c r="C17" i="6" s="1"/>
  <c r="C18" i="6" s="1"/>
  <c r="D23" i="6" s="1"/>
  <c r="D25" i="6" s="1"/>
  <c r="D29" i="6" s="1"/>
  <c r="C30" i="6"/>
  <c r="F16" i="6"/>
  <c r="F17" i="6"/>
  <c r="F18" i="6" s="1"/>
  <c r="G23" i="6" s="1"/>
  <c r="I23" i="6"/>
  <c r="I24" i="6" s="1"/>
  <c r="G24" i="6" s="1"/>
  <c r="D15" i="6"/>
  <c r="G25" i="6" l="1"/>
  <c r="G29" i="6" s="1"/>
  <c r="G30" i="6" s="1"/>
  <c r="D30" i="6"/>
  <c r="D16" i="6"/>
  <c r="D17" i="6" s="1"/>
  <c r="D18" i="6" s="1"/>
  <c r="E23" i="6" s="1"/>
  <c r="E25" i="6" s="1"/>
  <c r="E29" i="6" s="1"/>
  <c r="E30" i="6" s="1"/>
  <c r="B36" i="6" l="1"/>
  <c r="B34" i="6"/>
  <c r="B33" i="6"/>
  <c r="O36" i="5" l="1"/>
  <c r="F14" i="5"/>
  <c r="E14" i="5"/>
  <c r="D14" i="5"/>
  <c r="C14" i="5"/>
  <c r="K14" i="5" s="1"/>
  <c r="J15" i="5"/>
  <c r="K15" i="5" s="1"/>
  <c r="L15" i="5" s="1"/>
  <c r="M15" i="5" s="1"/>
  <c r="N15" i="5" s="1"/>
  <c r="B14" i="5"/>
  <c r="J14" i="5" s="1"/>
  <c r="J46" i="5"/>
  <c r="L43" i="5"/>
  <c r="K43" i="5"/>
  <c r="O42" i="5"/>
  <c r="O43" i="5" s="1"/>
  <c r="N42" i="5"/>
  <c r="N43" i="5" s="1"/>
  <c r="M42" i="5"/>
  <c r="M43" i="5" s="1"/>
  <c r="E42" i="5"/>
  <c r="D42" i="5"/>
  <c r="C42" i="5"/>
  <c r="G41" i="5"/>
  <c r="G42" i="5" s="1"/>
  <c r="F41" i="5"/>
  <c r="F42" i="5" s="1"/>
  <c r="E41" i="5"/>
  <c r="B40" i="5"/>
  <c r="B42" i="5" s="1"/>
  <c r="J39" i="5"/>
  <c r="B38" i="5"/>
  <c r="F13" i="5"/>
  <c r="E13" i="5"/>
  <c r="M13" i="5" s="1"/>
  <c r="D13" i="5"/>
  <c r="C13" i="5"/>
  <c r="B13" i="5"/>
  <c r="J13" i="5" s="1"/>
  <c r="B43" i="5" l="1"/>
  <c r="B44" i="5" s="1"/>
  <c r="J16" i="5"/>
  <c r="J19" i="5" s="1"/>
  <c r="N13" i="5"/>
  <c r="B16" i="5"/>
  <c r="B17" i="5" s="1"/>
  <c r="B19" i="5" s="1"/>
  <c r="N14" i="5"/>
  <c r="M14" i="5"/>
  <c r="L14" i="5"/>
  <c r="C15" i="5"/>
  <c r="K13" i="5"/>
  <c r="K16" i="5" s="1"/>
  <c r="J41" i="5"/>
  <c r="J43" i="5" s="1"/>
  <c r="J44" i="5" s="1"/>
  <c r="L13" i="5"/>
  <c r="L16" i="5" l="1"/>
  <c r="N16" i="5"/>
  <c r="N19" i="5" s="1"/>
  <c r="N21" i="5" s="1"/>
  <c r="O35" i="5" s="1"/>
  <c r="M16" i="5"/>
  <c r="M17" i="5" s="1"/>
  <c r="M18" i="5" s="1"/>
  <c r="J20" i="5"/>
  <c r="J21" i="5"/>
  <c r="K35" i="5" s="1"/>
  <c r="K39" i="5" s="1"/>
  <c r="K44" i="5" s="1"/>
  <c r="K45" i="5" s="1"/>
  <c r="B20" i="5"/>
  <c r="C35" i="5" s="1"/>
  <c r="C38" i="5" s="1"/>
  <c r="C43" i="5" s="1"/>
  <c r="C44" i="5" s="1"/>
  <c r="D15" i="5"/>
  <c r="C16" i="5"/>
  <c r="L17" i="5"/>
  <c r="L18" i="5" s="1"/>
  <c r="L19" i="5" s="1"/>
  <c r="J45" i="5"/>
  <c r="K17" i="5"/>
  <c r="K18" i="5" s="1"/>
  <c r="K19" i="5" s="1"/>
  <c r="M19" i="5" l="1"/>
  <c r="M21" i="5" s="1"/>
  <c r="N35" i="5" s="1"/>
  <c r="N39" i="5" s="1"/>
  <c r="N44" i="5" s="1"/>
  <c r="N45" i="5" s="1"/>
  <c r="O37" i="5"/>
  <c r="O39" i="5" s="1"/>
  <c r="O44" i="5" s="1"/>
  <c r="O45" i="5" s="1"/>
  <c r="N17" i="5"/>
  <c r="E15" i="5"/>
  <c r="D16" i="5"/>
  <c r="D18" i="5" s="1"/>
  <c r="D19" i="5" s="1"/>
  <c r="L21" i="5"/>
  <c r="M35" i="5" s="1"/>
  <c r="M39" i="5" s="1"/>
  <c r="M44" i="5" s="1"/>
  <c r="K21" i="5"/>
  <c r="L35" i="5" s="1"/>
  <c r="L39" i="5" s="1"/>
  <c r="L44" i="5" s="1"/>
  <c r="L45" i="5" s="1"/>
  <c r="C18" i="5"/>
  <c r="C19" i="5" s="1"/>
  <c r="M45" i="5" l="1"/>
  <c r="J47" i="5"/>
  <c r="C20" i="5"/>
  <c r="D35" i="5" s="1"/>
  <c r="D38" i="5" s="1"/>
  <c r="D43" i="5" s="1"/>
  <c r="D44" i="5" s="1"/>
  <c r="E16" i="5"/>
  <c r="F15" i="5"/>
  <c r="F16" i="5" s="1"/>
  <c r="D20" i="5"/>
  <c r="E35" i="5" s="1"/>
  <c r="E38" i="5" s="1"/>
  <c r="E43" i="5" s="1"/>
  <c r="E44" i="5" s="1"/>
  <c r="F17" i="5" l="1"/>
  <c r="F19" i="5" s="1"/>
  <c r="F20" i="5" s="1"/>
  <c r="G35" i="5" s="1"/>
  <c r="G38" i="5" s="1"/>
  <c r="G43" i="5" s="1"/>
  <c r="E18" i="5"/>
  <c r="E19" i="5" s="1"/>
  <c r="E20" i="5" s="1"/>
  <c r="F35" i="5" l="1"/>
  <c r="F38" i="5" s="1"/>
  <c r="F43" i="5" s="1"/>
  <c r="G44" i="5"/>
  <c r="D29" i="4"/>
  <c r="C29" i="4"/>
  <c r="B29" i="4"/>
  <c r="B27" i="4"/>
  <c r="B24" i="4"/>
  <c r="B25" i="4" s="1"/>
  <c r="E23" i="4"/>
  <c r="D12" i="4"/>
  <c r="C12" i="4"/>
  <c r="B12" i="4"/>
  <c r="C11" i="4"/>
  <c r="D10" i="4"/>
  <c r="C10" i="4"/>
  <c r="B10" i="4"/>
  <c r="D6" i="4"/>
  <c r="D11" i="4" s="1"/>
  <c r="D13" i="4" s="1"/>
  <c r="B6" i="4"/>
  <c r="B11" i="4" s="1"/>
  <c r="B45" i="3"/>
  <c r="C10" i="3"/>
  <c r="D10" i="3" s="1"/>
  <c r="G61" i="3"/>
  <c r="F61" i="3"/>
  <c r="E61" i="3"/>
  <c r="D61" i="3"/>
  <c r="C61" i="3"/>
  <c r="B59" i="3"/>
  <c r="B57" i="3"/>
  <c r="B46" i="3"/>
  <c r="C46" i="3" s="1"/>
  <c r="D46" i="3" s="1"/>
  <c r="E46" i="3" s="1"/>
  <c r="F46" i="3" s="1"/>
  <c r="C45" i="3"/>
  <c r="C44" i="3"/>
  <c r="B44" i="3"/>
  <c r="D40" i="3"/>
  <c r="D45" i="3" s="1"/>
  <c r="G28" i="3"/>
  <c r="F28" i="3"/>
  <c r="E28" i="3"/>
  <c r="D28" i="3"/>
  <c r="C28" i="3"/>
  <c r="B26" i="3"/>
  <c r="B24" i="3"/>
  <c r="C9" i="3"/>
  <c r="C8" i="3"/>
  <c r="B8" i="3"/>
  <c r="B27" i="3" s="1"/>
  <c r="D4" i="3"/>
  <c r="D8" i="3" s="1"/>
  <c r="B15" i="2"/>
  <c r="C15" i="2" s="1"/>
  <c r="D15" i="2" s="1"/>
  <c r="D14" i="2"/>
  <c r="D26" i="2" s="1"/>
  <c r="C14" i="2"/>
  <c r="C26" i="2" s="1"/>
  <c r="B14" i="2"/>
  <c r="B26" i="2" s="1"/>
  <c r="D13" i="2"/>
  <c r="D25" i="2" s="1"/>
  <c r="C13" i="2"/>
  <c r="C25" i="2" s="1"/>
  <c r="B13" i="2"/>
  <c r="B25" i="2" s="1"/>
  <c r="F44" i="5" l="1"/>
  <c r="B47" i="5"/>
  <c r="B13" i="4"/>
  <c r="C13" i="4"/>
  <c r="B30" i="4"/>
  <c r="B31" i="4" s="1"/>
  <c r="E28" i="4"/>
  <c r="E29" i="4" s="1"/>
  <c r="B14" i="4"/>
  <c r="B16" i="4" s="1"/>
  <c r="B17" i="4" s="1"/>
  <c r="C22" i="4" s="1"/>
  <c r="C25" i="4" s="1"/>
  <c r="C30" i="4" s="1"/>
  <c r="C15" i="4"/>
  <c r="C16" i="4" s="1"/>
  <c r="C17" i="4" s="1"/>
  <c r="D22" i="4" s="1"/>
  <c r="D25" i="4" s="1"/>
  <c r="D30" i="4" s="1"/>
  <c r="D31" i="4" s="1"/>
  <c r="D15" i="4"/>
  <c r="D16" i="4" s="1"/>
  <c r="D17" i="4" s="1"/>
  <c r="E22" i="4" s="1"/>
  <c r="E25" i="4" s="1"/>
  <c r="B28" i="3"/>
  <c r="B29" i="3" s="1"/>
  <c r="B33" i="3" s="1"/>
  <c r="B47" i="3"/>
  <c r="B48" i="3" s="1"/>
  <c r="B49" i="3" s="1"/>
  <c r="B50" i="3" s="1"/>
  <c r="C54" i="3" s="1"/>
  <c r="C57" i="3" s="1"/>
  <c r="C62" i="3" s="1"/>
  <c r="C67" i="3" s="1"/>
  <c r="E40" i="3"/>
  <c r="E45" i="3" s="1"/>
  <c r="E4" i="3"/>
  <c r="E8" i="3" s="1"/>
  <c r="C47" i="3"/>
  <c r="C48" i="3" s="1"/>
  <c r="C49" i="3" s="1"/>
  <c r="C50" i="3" s="1"/>
  <c r="D54" i="3" s="1"/>
  <c r="D57" i="3" s="1"/>
  <c r="D62" i="3" s="1"/>
  <c r="D67" i="3" s="1"/>
  <c r="C11" i="3"/>
  <c r="C12" i="3" s="1"/>
  <c r="C13" i="3" s="1"/>
  <c r="C14" i="3" s="1"/>
  <c r="D21" i="3" s="1"/>
  <c r="D24" i="3" s="1"/>
  <c r="D29" i="3" s="1"/>
  <c r="D33" i="3" s="1"/>
  <c r="E10" i="3"/>
  <c r="F10" i="3" s="1"/>
  <c r="B60" i="3"/>
  <c r="G23" i="3"/>
  <c r="D44" i="3"/>
  <c r="D47" i="3" s="1"/>
  <c r="D9" i="3"/>
  <c r="D11" i="3" s="1"/>
  <c r="B11" i="3"/>
  <c r="B27" i="2"/>
  <c r="C27" i="2" s="1"/>
  <c r="D27" i="2" s="1"/>
  <c r="D16" i="2"/>
  <c r="B28" i="2"/>
  <c r="B31" i="2" s="1"/>
  <c r="B33" i="2" s="1"/>
  <c r="D18" i="2"/>
  <c r="D19" i="2" s="1"/>
  <c r="D20" i="2" s="1"/>
  <c r="D28" i="2"/>
  <c r="B16" i="2"/>
  <c r="C16" i="2"/>
  <c r="F40" i="3" l="1"/>
  <c r="F44" i="3" s="1"/>
  <c r="E44" i="3"/>
  <c r="E47" i="3" s="1"/>
  <c r="E48" i="3" s="1"/>
  <c r="E49" i="3" s="1"/>
  <c r="E50" i="3" s="1"/>
  <c r="F54" i="3" s="1"/>
  <c r="F57" i="3" s="1"/>
  <c r="F62" i="3" s="1"/>
  <c r="F67" i="3" s="1"/>
  <c r="E30" i="4"/>
  <c r="E31" i="4" s="1"/>
  <c r="C31" i="4"/>
  <c r="B34" i="4" s="1"/>
  <c r="B35" i="4"/>
  <c r="E9" i="3"/>
  <c r="E11" i="3" s="1"/>
  <c r="E12" i="3" s="1"/>
  <c r="E13" i="3" s="1"/>
  <c r="E14" i="3" s="1"/>
  <c r="F21" i="3" s="1"/>
  <c r="F24" i="3" s="1"/>
  <c r="F29" i="3" s="1"/>
  <c r="F33" i="3" s="1"/>
  <c r="F4" i="3"/>
  <c r="F9" i="3" s="1"/>
  <c r="D48" i="3"/>
  <c r="D49" i="3" s="1"/>
  <c r="D50" i="3" s="1"/>
  <c r="E54" i="3" s="1"/>
  <c r="E57" i="3" s="1"/>
  <c r="E62" i="3" s="1"/>
  <c r="E67" i="3" s="1"/>
  <c r="B61" i="3"/>
  <c r="B62" i="3" s="1"/>
  <c r="G56" i="3"/>
  <c r="F45" i="3"/>
  <c r="D12" i="3"/>
  <c r="D13" i="3"/>
  <c r="D14" i="3" s="1"/>
  <c r="E21" i="3" s="1"/>
  <c r="E24" i="3" s="1"/>
  <c r="E29" i="3" s="1"/>
  <c r="E33" i="3" s="1"/>
  <c r="B12" i="3"/>
  <c r="B13" i="3" s="1"/>
  <c r="B14" i="3" s="1"/>
  <c r="G22" i="3"/>
  <c r="C28" i="2"/>
  <c r="B17" i="2"/>
  <c r="B19" i="2" s="1"/>
  <c r="B20" i="2" s="1"/>
  <c r="D29" i="2"/>
  <c r="D30" i="2" s="1"/>
  <c r="D31" i="2" s="1"/>
  <c r="D33" i="2" s="1"/>
  <c r="C18" i="2"/>
  <c r="C19" i="2" s="1"/>
  <c r="C20" i="2" s="1"/>
  <c r="C30" i="2" l="1"/>
  <c r="C31" i="2" s="1"/>
  <c r="C33" i="2" s="1"/>
  <c r="F8" i="3"/>
  <c r="F11" i="3" s="1"/>
  <c r="F47" i="3"/>
  <c r="F48" i="3" s="1"/>
  <c r="F49" i="3" s="1"/>
  <c r="F50" i="3" s="1"/>
  <c r="G54" i="3" s="1"/>
  <c r="G57" i="3" s="1"/>
  <c r="G62" i="3" s="1"/>
  <c r="B72" i="3" s="1"/>
  <c r="C21" i="3"/>
  <c r="C24" i="3" s="1"/>
  <c r="C29" i="3" s="1"/>
  <c r="B67" i="3"/>
  <c r="G67" i="3" l="1"/>
  <c r="B68" i="3" s="1"/>
  <c r="B64" i="3"/>
  <c r="A69" i="3"/>
  <c r="C33" i="3"/>
  <c r="F12" i="3"/>
  <c r="F13" i="3" s="1"/>
  <c r="F14" i="3" s="1"/>
  <c r="G21" i="3" l="1"/>
  <c r="G24" i="3" s="1"/>
  <c r="G29" i="3" s="1"/>
  <c r="G14" i="3"/>
  <c r="G33" i="3" l="1"/>
  <c r="B30" i="3"/>
  <c r="A35" i="3"/>
  <c r="C10" i="1"/>
  <c r="C13" i="1" s="1"/>
  <c r="B9" i="1"/>
  <c r="G27" i="1"/>
  <c r="F27" i="1"/>
  <c r="E27" i="1"/>
  <c r="D27" i="1"/>
  <c r="B23" i="1"/>
  <c r="B6" i="1"/>
  <c r="B25" i="1" s="1"/>
  <c r="B13" i="1" l="1"/>
  <c r="B14" i="1" s="1"/>
  <c r="B15" i="1" s="1"/>
  <c r="B16" i="1" s="1"/>
  <c r="C20" i="1" s="1"/>
  <c r="C23" i="1" s="1"/>
  <c r="C28" i="1" s="1"/>
  <c r="B26" i="1"/>
  <c r="C22" i="1"/>
  <c r="C27" i="1"/>
  <c r="B34" i="3"/>
  <c r="B27" i="1"/>
  <c r="B28" i="1" s="1"/>
  <c r="C14" i="1"/>
  <c r="C15" i="1" s="1"/>
  <c r="C16" i="1" s="1"/>
  <c r="D20" i="1" s="1"/>
  <c r="E20" i="1" l="1"/>
  <c r="D23" i="1"/>
  <c r="D28" i="1" s="1"/>
  <c r="E23" i="1" l="1"/>
  <c r="E28" i="1" s="1"/>
  <c r="F20" i="1"/>
  <c r="G20" i="1" l="1"/>
  <c r="G23" i="1" s="1"/>
  <c r="G28" i="1" s="1"/>
  <c r="F23" i="1"/>
  <c r="F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29" authorId="0" shapeId="0" xr:uid="{DFDD1063-3FC9-4084-8D8D-C378E15C1369}">
      <text>
        <r>
          <rPr>
            <b/>
            <sz val="9"/>
            <color indexed="81"/>
            <rFont val="Tahoma"/>
            <family val="2"/>
          </rPr>
          <t>58000-21000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4" authorId="0" shapeId="0" xr:uid="{D0ABDB6D-A37C-44BC-B64B-B8FC55C57213}">
      <text>
        <r>
          <rPr>
            <b/>
            <sz val="9"/>
            <color indexed="81"/>
            <rFont val="Tahoma"/>
            <family val="2"/>
          </rPr>
          <t>Résultat après IS + Dotations aux Amts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5" authorId="0" shapeId="0" xr:uid="{66825D5E-B60B-47F8-A551-9A5C5742621F}">
      <text>
        <r>
          <rPr>
            <b/>
            <sz val="9"/>
            <color indexed="81"/>
            <rFont val="Tahoma"/>
            <family val="2"/>
          </rPr>
          <t>Excel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0" authorId="0" shapeId="0" xr:uid="{F0FA352F-EAF8-4B47-82FE-E5A75F7F0F67}">
      <text>
        <r>
          <rPr>
            <b/>
            <sz val="9"/>
            <color indexed="81"/>
            <rFont val="Tahoma"/>
            <family val="2"/>
          </rPr>
          <t>Résultat après IS + Dotations aux Amts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9" authorId="0" shapeId="0" xr:uid="{42B77C9C-8EFD-416A-B6E6-171D8FB7FD19}">
      <text>
        <r>
          <rPr>
            <b/>
            <sz val="9"/>
            <color indexed="81"/>
            <rFont val="Tahoma"/>
            <family val="2"/>
          </rPr>
          <t>Excel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2" authorId="0" shapeId="0" xr:uid="{358D89E2-28B8-4741-AD21-6FDE257C5AFE}">
      <text>
        <r>
          <rPr>
            <b/>
            <sz val="9"/>
            <color indexed="81"/>
            <rFont val="Tahoma"/>
            <family val="2"/>
          </rPr>
          <t>Excel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K17" authorId="0" shapeId="0" xr:uid="{E2EE8A32-2A08-49E1-9648-F4DA4CD05821}">
      <text>
        <r>
          <rPr>
            <b/>
            <sz val="9"/>
            <color indexed="81"/>
            <rFont val="Tahoma"/>
            <family val="2"/>
          </rPr>
          <t>775 000 - 225 000 = 550 000€</t>
        </r>
      </text>
    </comment>
  </commentList>
</comments>
</file>

<file path=xl/sharedStrings.xml><?xml version="1.0" encoding="utf-8"?>
<sst xmlns="http://schemas.openxmlformats.org/spreadsheetml/2006/main" count="309" uniqueCount="72">
  <si>
    <t>Montant du capital investi :</t>
  </si>
  <si>
    <t>Terrain</t>
  </si>
  <si>
    <t>Batiment</t>
  </si>
  <si>
    <t>Equipements</t>
  </si>
  <si>
    <t>TOTAL</t>
  </si>
  <si>
    <t>N</t>
  </si>
  <si>
    <t>N+1 à N+4</t>
  </si>
  <si>
    <t>CA</t>
  </si>
  <si>
    <t>Charges variables</t>
  </si>
  <si>
    <t>Charges fixes</t>
  </si>
  <si>
    <t>Dotations aux amts</t>
  </si>
  <si>
    <t>Résultat avant IS</t>
  </si>
  <si>
    <t>IS 25%</t>
  </si>
  <si>
    <t>CAF</t>
  </si>
  <si>
    <t>Résultat après IS</t>
  </si>
  <si>
    <t>Début N</t>
  </si>
  <si>
    <t>N+1</t>
  </si>
  <si>
    <t>N+2</t>
  </si>
  <si>
    <t>N+3</t>
  </si>
  <si>
    <t>N+4</t>
  </si>
  <si>
    <t>ENCAISSEMENTS</t>
  </si>
  <si>
    <t>Valeur résiduelle de l'investissement</t>
  </si>
  <si>
    <t>Récupération du BFR</t>
  </si>
  <si>
    <t>DECAISSEMENTS</t>
  </si>
  <si>
    <t>Acquisition</t>
  </si>
  <si>
    <t>BFR</t>
  </si>
  <si>
    <t>FLUX NETS DE TRESORERIE</t>
  </si>
  <si>
    <t>FLUX NETS ACTUALISES</t>
  </si>
  <si>
    <t>Investissement initial</t>
  </si>
  <si>
    <t>Investissement sur 3 ans</t>
  </si>
  <si>
    <t>Montant de l'investissement</t>
  </si>
  <si>
    <t>Valeur résiduelle</t>
  </si>
  <si>
    <t>Quantités vendues</t>
  </si>
  <si>
    <t>Prix de vente unitaire</t>
  </si>
  <si>
    <t>Coût de revient unitaire</t>
  </si>
  <si>
    <t>Charges</t>
  </si>
  <si>
    <t>Dotations aux amortissements</t>
  </si>
  <si>
    <t>Economie IS</t>
  </si>
  <si>
    <t>Bénéfice imposable</t>
  </si>
  <si>
    <t>IS - 25%</t>
  </si>
  <si>
    <t>C.A.F.</t>
  </si>
  <si>
    <t>Déficit reportable</t>
  </si>
  <si>
    <t>Hypothèse 1</t>
  </si>
  <si>
    <t>Quantité</t>
  </si>
  <si>
    <t>Prix de vente HT</t>
  </si>
  <si>
    <t>Investissement n° 1</t>
  </si>
  <si>
    <t>Investissement</t>
  </si>
  <si>
    <t>Durée (en année)</t>
  </si>
  <si>
    <t>Cession net d'IS</t>
  </si>
  <si>
    <t>Sans actualisation</t>
  </si>
  <si>
    <t>Rentabilité</t>
  </si>
  <si>
    <t>En tenant compte de l'actualisation</t>
  </si>
  <si>
    <t>Taux d'actualisation</t>
  </si>
  <si>
    <t>VAN</t>
  </si>
  <si>
    <t>Investissement n° 2</t>
  </si>
  <si>
    <t>TRI du 2ème investissement</t>
  </si>
  <si>
    <t>RFR</t>
  </si>
  <si>
    <t>Revente en N+2 prix de cession : 200000€</t>
  </si>
  <si>
    <t>Cession de l'équipement net IS</t>
  </si>
  <si>
    <t>Ressources en Fonds de roulement</t>
  </si>
  <si>
    <t>Annulation du RFR</t>
  </si>
  <si>
    <t>Taux</t>
  </si>
  <si>
    <t>Cession de l'équipement</t>
  </si>
  <si>
    <t>Carry Back</t>
  </si>
  <si>
    <t>HYPOTHESE 2</t>
  </si>
  <si>
    <t>HYPOTHESE 1</t>
  </si>
  <si>
    <t>Revente en N+4 prix de cession :</t>
  </si>
  <si>
    <t>TRI</t>
  </si>
  <si>
    <t>Valeur de revente de l'investissement</t>
  </si>
  <si>
    <t>(*)   3 000 000 * 36/360 = 300 000€</t>
  </si>
  <si>
    <t>Bénéfice imposable : Base de calcul de l'IS</t>
  </si>
  <si>
    <t>Déficit qui s'imputera les années suivantes sur le bénéfice imposable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</si>
</sst>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\ [$€-40C]_-;\-* #,##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44" fontId="0" fillId="0" borderId="1" xfId="1" applyFont="1" applyBorder="1"/>
    <xf numFmtId="164" fontId="0" fillId="0" borderId="1" xfId="1" applyNumberFormat="1" applyFont="1" applyBorder="1"/>
    <xf numFmtId="44" fontId="0" fillId="0" borderId="0" xfId="1" applyFont="1"/>
    <xf numFmtId="164" fontId="0" fillId="0" borderId="0" xfId="1" applyNumberFormat="1" applyFont="1"/>
    <xf numFmtId="0" fontId="0" fillId="0" borderId="1" xfId="0" applyBorder="1" applyAlignment="1">
      <alignment horizontal="center"/>
    </xf>
    <xf numFmtId="0" fontId="3" fillId="0" borderId="1" xfId="0" applyFont="1" applyBorder="1"/>
    <xf numFmtId="6" fontId="0" fillId="0" borderId="1" xfId="0" applyNumberFormat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165" fontId="0" fillId="2" borderId="1" xfId="1" applyNumberFormat="1" applyFont="1" applyFill="1" applyBorder="1"/>
    <xf numFmtId="0" fontId="3" fillId="2" borderId="1" xfId="0" applyFont="1" applyFill="1" applyBorder="1"/>
    <xf numFmtId="165" fontId="3" fillId="2" borderId="1" xfId="0" applyNumberFormat="1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164" fontId="0" fillId="3" borderId="1" xfId="1" applyNumberFormat="1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164" fontId="0" fillId="0" borderId="1" xfId="0" applyNumberFormat="1" applyBorder="1"/>
    <xf numFmtId="164" fontId="3" fillId="0" borderId="1" xfId="1" applyNumberFormat="1" applyFont="1" applyBorder="1"/>
    <xf numFmtId="164" fontId="0" fillId="2" borderId="1" xfId="1" applyNumberFormat="1" applyFont="1" applyFill="1" applyBorder="1"/>
    <xf numFmtId="164" fontId="3" fillId="2" borderId="1" xfId="1" applyNumberFormat="1" applyFont="1" applyFill="1" applyBorder="1"/>
    <xf numFmtId="164" fontId="3" fillId="3" borderId="1" xfId="1" applyNumberFormat="1" applyFont="1" applyFill="1" applyBorder="1"/>
    <xf numFmtId="164" fontId="0" fillId="0" borderId="0" xfId="0" applyNumberFormat="1"/>
    <xf numFmtId="44" fontId="0" fillId="0" borderId="0" xfId="0" applyNumberFormat="1"/>
    <xf numFmtId="0" fontId="0" fillId="0" borderId="1" xfId="0" applyBorder="1" applyAlignment="1">
      <alignment horizontal="left"/>
    </xf>
    <xf numFmtId="6" fontId="0" fillId="0" borderId="1" xfId="0" applyNumberFormat="1" applyBorder="1" applyAlignment="1">
      <alignment horizontal="right"/>
    </xf>
    <xf numFmtId="6" fontId="2" fillId="0" borderId="1" xfId="0" applyNumberFormat="1" applyFont="1" applyBorder="1" applyAlignment="1">
      <alignment horizontal="right"/>
    </xf>
    <xf numFmtId="164" fontId="2" fillId="0" borderId="1" xfId="1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164" fontId="3" fillId="0" borderId="0" xfId="1" applyNumberFormat="1" applyFont="1" applyBorder="1"/>
    <xf numFmtId="0" fontId="0" fillId="4" borderId="1" xfId="0" applyFill="1" applyBorder="1"/>
    <xf numFmtId="164" fontId="0" fillId="4" borderId="1" xfId="0" applyNumberFormat="1" applyFill="1" applyBorder="1"/>
    <xf numFmtId="164" fontId="5" fillId="4" borderId="1" xfId="0" applyNumberFormat="1" applyFont="1" applyFill="1" applyBorder="1"/>
    <xf numFmtId="0" fontId="5" fillId="4" borderId="1" xfId="0" applyFont="1" applyFill="1" applyBorder="1"/>
    <xf numFmtId="6" fontId="0" fillId="0" borderId="0" xfId="0" applyNumberFormat="1"/>
    <xf numFmtId="0" fontId="3" fillId="4" borderId="0" xfId="0" applyFont="1" applyFill="1" applyAlignment="1">
      <alignment horizontal="center"/>
    </xf>
    <xf numFmtId="6" fontId="0" fillId="0" borderId="1" xfId="0" applyNumberFormat="1" applyBorder="1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1" applyNumberFormat="1" applyFont="1" applyBorder="1"/>
    <xf numFmtId="0" fontId="0" fillId="2" borderId="0" xfId="0" applyFill="1"/>
    <xf numFmtId="164" fontId="0" fillId="2" borderId="0" xfId="1" applyNumberFormat="1" applyFont="1" applyFill="1"/>
    <xf numFmtId="0" fontId="0" fillId="4" borderId="0" xfId="0" applyFill="1"/>
    <xf numFmtId="164" fontId="0" fillId="4" borderId="0" xfId="0" applyNumberFormat="1" applyFill="1"/>
    <xf numFmtId="9" fontId="0" fillId="0" borderId="0" xfId="0" applyNumberFormat="1"/>
    <xf numFmtId="164" fontId="0" fillId="2" borderId="0" xfId="0" applyNumberFormat="1" applyFill="1"/>
    <xf numFmtId="10" fontId="0" fillId="0" borderId="0" xfId="0" applyNumberFormat="1"/>
    <xf numFmtId="2" fontId="0" fillId="0" borderId="0" xfId="0" applyNumberFormat="1"/>
    <xf numFmtId="0" fontId="0" fillId="5" borderId="0" xfId="0" applyFill="1" applyAlignment="1">
      <alignment horizontal="right"/>
    </xf>
    <xf numFmtId="6" fontId="0" fillId="5" borderId="0" xfId="0" applyNumberFormat="1" applyFill="1"/>
    <xf numFmtId="0" fontId="0" fillId="6" borderId="0" xfId="0" applyFill="1" applyAlignment="1">
      <alignment horizontal="right"/>
    </xf>
    <xf numFmtId="6" fontId="0" fillId="6" borderId="0" xfId="0" applyNumberFormat="1" applyFill="1" applyAlignment="1">
      <alignment horizontal="right"/>
    </xf>
    <xf numFmtId="0" fontId="0" fillId="7" borderId="0" xfId="0" applyFill="1" applyAlignment="1">
      <alignment horizontal="right"/>
    </xf>
    <xf numFmtId="6" fontId="0" fillId="7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ill="1"/>
    <xf numFmtId="0" fontId="0" fillId="8" borderId="0" xfId="0" applyFill="1" applyAlignment="1">
      <alignment horizontal="right"/>
    </xf>
    <xf numFmtId="6" fontId="0" fillId="8" borderId="0" xfId="0" applyNumberFormat="1" applyFill="1" applyAlignment="1">
      <alignment horizontal="right"/>
    </xf>
    <xf numFmtId="0" fontId="4" fillId="0" borderId="0" xfId="0" applyFont="1"/>
    <xf numFmtId="0" fontId="0" fillId="0" borderId="2" xfId="0" applyBorder="1"/>
    <xf numFmtId="164" fontId="0" fillId="0" borderId="2" xfId="1" applyNumberFormat="1" applyFont="1" applyBorder="1"/>
    <xf numFmtId="164" fontId="4" fillId="0" borderId="1" xfId="1" applyNumberFormat="1" applyFont="1" applyBorder="1"/>
    <xf numFmtId="164" fontId="5" fillId="0" borderId="1" xfId="1" applyNumberFormat="1" applyFont="1" applyBorder="1"/>
    <xf numFmtId="164" fontId="5" fillId="0" borderId="2" xfId="1" applyNumberFormat="1" applyFont="1" applyBorder="1"/>
    <xf numFmtId="164" fontId="4" fillId="0" borderId="1" xfId="0" applyNumberFormat="1" applyFont="1" applyBorder="1"/>
    <xf numFmtId="164" fontId="8" fillId="0" borderId="1" xfId="1" applyNumberFormat="1" applyFont="1" applyBorder="1"/>
    <xf numFmtId="164" fontId="0" fillId="3" borderId="0" xfId="1" applyNumberFormat="1" applyFont="1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164" fontId="0" fillId="0" borderId="4" xfId="1" applyNumberFormat="1" applyFont="1" applyBorder="1"/>
    <xf numFmtId="164" fontId="3" fillId="0" borderId="3" xfId="1" applyNumberFormat="1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3" borderId="0" xfId="0" applyFill="1" applyAlignment="1">
      <alignment horizontal="center"/>
    </xf>
    <xf numFmtId="164" fontId="0" fillId="3" borderId="0" xfId="0" applyNumberFormat="1" applyFill="1"/>
    <xf numFmtId="164" fontId="3" fillId="3" borderId="0" xfId="1" applyNumberFormat="1" applyFont="1" applyFill="1" applyBorder="1"/>
    <xf numFmtId="0" fontId="5" fillId="0" borderId="5" xfId="0" applyFont="1" applyBorder="1"/>
    <xf numFmtId="0" fontId="4" fillId="0" borderId="5" xfId="0" applyFont="1" applyBorder="1"/>
    <xf numFmtId="0" fontId="5" fillId="0" borderId="6" xfId="0" applyFont="1" applyBorder="1"/>
    <xf numFmtId="164" fontId="5" fillId="0" borderId="5" xfId="1" applyNumberFormat="1" applyFont="1" applyBorder="1"/>
    <xf numFmtId="164" fontId="5" fillId="0" borderId="5" xfId="0" applyNumberFormat="1" applyFont="1" applyBorder="1"/>
    <xf numFmtId="164" fontId="8" fillId="0" borderId="5" xfId="1" applyNumberFormat="1" applyFont="1" applyBorder="1"/>
    <xf numFmtId="6" fontId="5" fillId="0" borderId="1" xfId="0" applyNumberFormat="1" applyFont="1" applyBorder="1" applyAlignment="1">
      <alignment horizontal="right"/>
    </xf>
    <xf numFmtId="164" fontId="9" fillId="0" borderId="1" xfId="0" applyNumberFormat="1" applyFont="1" applyBorder="1"/>
    <xf numFmtId="164" fontId="5" fillId="0" borderId="0" xfId="0" applyNumberFormat="1" applyFont="1"/>
    <xf numFmtId="164" fontId="5" fillId="0" borderId="3" xfId="0" applyNumberFormat="1" applyFont="1" applyBorder="1"/>
    <xf numFmtId="0" fontId="5" fillId="0" borderId="3" xfId="0" applyFont="1" applyBorder="1"/>
    <xf numFmtId="0" fontId="4" fillId="0" borderId="3" xfId="0" applyFont="1" applyBorder="1"/>
    <xf numFmtId="2" fontId="1" fillId="0" borderId="0" xfId="1" applyNumberFormat="1" applyFont="1" applyBorder="1"/>
    <xf numFmtId="0" fontId="0" fillId="0" borderId="0" xfId="0" applyAlignment="1">
      <alignment wrapText="1"/>
    </xf>
    <xf numFmtId="164" fontId="5" fillId="2" borderId="1" xfId="0" applyNumberFormat="1" applyFont="1" applyFill="1" applyBorder="1"/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44263</xdr:colOff>
      <xdr:row>17</xdr:row>
      <xdr:rowOff>62472</xdr:rowOff>
    </xdr:from>
    <xdr:to>
      <xdr:col>10</xdr:col>
      <xdr:colOff>293594</xdr:colOff>
      <xdr:row>25</xdr:row>
      <xdr:rowOff>90488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AF0F096-F7C8-4F6F-8FC7-122B5348DE47}"/>
            </a:ext>
          </a:extLst>
        </xdr:cNvPr>
        <xdr:cNvSpPr txBox="1"/>
      </xdr:nvSpPr>
      <xdr:spPr>
        <a:xfrm>
          <a:off x="8111938" y="3300972"/>
          <a:ext cx="3402106" cy="15520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Coût d'acquisition : 700 000€</a:t>
          </a:r>
        </a:p>
        <a:p>
          <a:r>
            <a:rPr lang="fr-FR" sz="1100"/>
            <a:t>Amortissement</a:t>
          </a:r>
          <a:r>
            <a:rPr lang="fr-FR" sz="1100" baseline="0"/>
            <a:t> annuel : 140 000€</a:t>
          </a:r>
        </a:p>
        <a:p>
          <a:r>
            <a:rPr lang="fr-FR" sz="1100" baseline="0"/>
            <a:t>Amortissement / 5 ans : (140000*5) = 700 000€</a:t>
          </a:r>
        </a:p>
        <a:p>
          <a:r>
            <a:rPr lang="fr-FR" sz="1100" baseline="0"/>
            <a:t>VNC : 700 000 - 700 000 = 0€</a:t>
          </a:r>
        </a:p>
        <a:p>
          <a:r>
            <a:rPr lang="fr-FR" sz="1100" baseline="0"/>
            <a:t>Valeur de revente : 50000€</a:t>
          </a:r>
        </a:p>
        <a:p>
          <a:r>
            <a:rPr lang="fr-FR" sz="1100" baseline="0"/>
            <a:t>+ Value : 50000 - 0 = +50000€</a:t>
          </a:r>
        </a:p>
        <a:p>
          <a:r>
            <a:rPr lang="fr-FR" sz="1100" baseline="0"/>
            <a:t>IS 25% de la plus value : 50000*0,25 = 12500€</a:t>
          </a:r>
        </a:p>
        <a:p>
          <a:r>
            <a:rPr lang="fr-FR" sz="1100" baseline="0"/>
            <a:t>Cession net IS : 50000 - 12500 = 37500€</a:t>
          </a:r>
        </a:p>
        <a:p>
          <a:endParaRPr lang="fr-FR" sz="1100"/>
        </a:p>
      </xdr:txBody>
    </xdr:sp>
    <xdr:clientData/>
  </xdr:twoCellAnchor>
  <xdr:twoCellAnchor>
    <xdr:from>
      <xdr:col>10</xdr:col>
      <xdr:colOff>473169</xdr:colOff>
      <xdr:row>18</xdr:row>
      <xdr:rowOff>28014</xdr:rowOff>
    </xdr:from>
    <xdr:to>
      <xdr:col>13</xdr:col>
      <xdr:colOff>722221</xdr:colOff>
      <xdr:row>24</xdr:row>
      <xdr:rowOff>105054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CC815A8-BCAA-404A-9161-95F1E4E13BDD}"/>
            </a:ext>
          </a:extLst>
        </xdr:cNvPr>
        <xdr:cNvSpPr txBox="1"/>
      </xdr:nvSpPr>
      <xdr:spPr>
        <a:xfrm>
          <a:off x="11693619" y="3457014"/>
          <a:ext cx="2535052" cy="1220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Le BFR = 2 mois de CA</a:t>
          </a:r>
          <a:r>
            <a:rPr lang="fr-FR" sz="1100" baseline="0"/>
            <a:t> de l'année N</a:t>
          </a:r>
        </a:p>
        <a:p>
          <a:r>
            <a:rPr lang="fr-FR" sz="1100" baseline="0"/>
            <a:t>CA de N ( 12 mois) : 1 980 000€</a:t>
          </a:r>
        </a:p>
        <a:p>
          <a:r>
            <a:rPr lang="fr-FR" sz="1100"/>
            <a:t>2  possibilités</a:t>
          </a:r>
        </a:p>
        <a:p>
          <a:r>
            <a:rPr lang="fr-FR" sz="1100"/>
            <a:t>1 980 000 * 2/12 = 330</a:t>
          </a:r>
          <a:r>
            <a:rPr lang="fr-FR" sz="1100" baseline="0"/>
            <a:t> 0</a:t>
          </a:r>
          <a:r>
            <a:rPr lang="fr-FR" sz="1100"/>
            <a:t>00€</a:t>
          </a:r>
        </a:p>
        <a:p>
          <a:r>
            <a:rPr lang="fr-FR" sz="1100"/>
            <a:t>1</a:t>
          </a:r>
          <a:r>
            <a:rPr lang="fr-FR" sz="1100" baseline="0"/>
            <a:t> 9800 000 * 60/360 = 330 000€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1264443</xdr:colOff>
      <xdr:row>21</xdr:row>
      <xdr:rowOff>92869</xdr:rowOff>
    </xdr:from>
    <xdr:to>
      <xdr:col>4</xdr:col>
      <xdr:colOff>333375</xdr:colOff>
      <xdr:row>26</xdr:row>
      <xdr:rowOff>152400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53247EA-1807-4D67-B94D-C3A46EAF5DAD}"/>
            </a:ext>
          </a:extLst>
        </xdr:cNvPr>
        <xdr:cNvSpPr txBox="1"/>
      </xdr:nvSpPr>
      <xdr:spPr>
        <a:xfrm>
          <a:off x="1264443" y="4093369"/>
          <a:ext cx="4574382" cy="10120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PA : 6 240</a:t>
          </a:r>
          <a:r>
            <a:rPr lang="fr-FR" sz="1100" baseline="0"/>
            <a:t> 000</a:t>
          </a:r>
        </a:p>
        <a:p>
          <a:r>
            <a:rPr lang="fr-FR" sz="1100" baseline="0"/>
            <a:t>AMT : 3 900 000</a:t>
          </a:r>
        </a:p>
        <a:p>
          <a:r>
            <a:rPr lang="fr-FR" sz="1100" baseline="0"/>
            <a:t>VNC :  2 340 000</a:t>
          </a:r>
        </a:p>
        <a:p>
          <a:r>
            <a:rPr lang="fr-FR" sz="1100" baseline="0"/>
            <a:t>PC : 2 340 000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ric Noel" id="{4F361B95-D1C4-4A2C-891E-63F794CF5F8C}" userId="S::eric.noel@univ-evry.fr::c97d4ec6-691b-4269-8690-07d4da695307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6" dT="2023-02-01T09:40:18.00" personId="{4F361B95-D1C4-4A2C-891E-63F794CF5F8C}" id="{7956916A-6E54-43DE-B8D4-55A5CA1B4466}">
    <text>3 000 000 * 36/360 = 300 000€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65537-DA8D-4FC3-B47C-760536AF9306}">
  <dimension ref="A1:G30"/>
  <sheetViews>
    <sheetView showGridLines="0" tabSelected="1" zoomScale="90" zoomScaleNormal="90" workbookViewId="0">
      <selection activeCell="I11" sqref="I11"/>
    </sheetView>
  </sheetViews>
  <sheetFormatPr baseColWidth="10" defaultRowHeight="14.4" x14ac:dyDescent="0.3"/>
  <cols>
    <col min="1" max="1" width="41.33203125" customWidth="1"/>
    <col min="2" max="2" width="14.5546875" bestFit="1" customWidth="1"/>
    <col min="3" max="3" width="16.44140625" customWidth="1"/>
    <col min="4" max="7" width="14.33203125" bestFit="1" customWidth="1"/>
    <col min="8" max="8" width="11.6640625" bestFit="1" customWidth="1"/>
  </cols>
  <sheetData>
    <row r="1" spans="1:3" x14ac:dyDescent="0.3">
      <c r="A1" t="s">
        <v>0</v>
      </c>
    </row>
    <row r="3" spans="1:3" x14ac:dyDescent="0.3">
      <c r="A3" s="3" t="s">
        <v>1</v>
      </c>
      <c r="B3" s="3">
        <v>600000</v>
      </c>
    </row>
    <row r="4" spans="1:3" x14ac:dyDescent="0.3">
      <c r="A4" s="3" t="s">
        <v>2</v>
      </c>
      <c r="B4" s="3">
        <v>950000</v>
      </c>
    </row>
    <row r="5" spans="1:3" x14ac:dyDescent="0.3">
      <c r="A5" s="3" t="s">
        <v>3</v>
      </c>
      <c r="B5" s="3">
        <v>650000</v>
      </c>
    </row>
    <row r="6" spans="1:3" x14ac:dyDescent="0.3">
      <c r="A6" s="3" t="s">
        <v>4</v>
      </c>
      <c r="B6" s="3">
        <f>SUM(B3:B5)</f>
        <v>2200000</v>
      </c>
    </row>
    <row r="8" spans="1:3" x14ac:dyDescent="0.3">
      <c r="A8" s="1"/>
      <c r="B8" s="6" t="s">
        <v>5</v>
      </c>
      <c r="C8" s="6" t="s">
        <v>6</v>
      </c>
    </row>
    <row r="9" spans="1:3" x14ac:dyDescent="0.3">
      <c r="A9" s="1" t="s">
        <v>7</v>
      </c>
      <c r="B9" s="3">
        <f>3000*1000</f>
        <v>3000000</v>
      </c>
      <c r="C9" s="3">
        <v>2000000</v>
      </c>
    </row>
    <row r="10" spans="1:3" x14ac:dyDescent="0.3">
      <c r="A10" s="1" t="s">
        <v>8</v>
      </c>
      <c r="B10" s="3">
        <f>B9*0.3</f>
        <v>900000</v>
      </c>
      <c r="C10" s="3">
        <f>C9*0.3</f>
        <v>600000</v>
      </c>
    </row>
    <row r="11" spans="1:3" x14ac:dyDescent="0.3">
      <c r="A11" s="1" t="s">
        <v>9</v>
      </c>
      <c r="B11" s="3">
        <v>600000</v>
      </c>
      <c r="C11" s="3">
        <v>990000</v>
      </c>
    </row>
    <row r="12" spans="1:3" x14ac:dyDescent="0.3">
      <c r="A12" s="1" t="s">
        <v>10</v>
      </c>
      <c r="B12" s="3">
        <v>210000</v>
      </c>
      <c r="C12" s="3">
        <v>210000</v>
      </c>
    </row>
    <row r="13" spans="1:3" x14ac:dyDescent="0.3">
      <c r="A13" s="1" t="s">
        <v>11</v>
      </c>
      <c r="B13" s="3">
        <f>B9-SUM(B10:B12)</f>
        <v>1290000</v>
      </c>
      <c r="C13" s="3">
        <f>C9-SUM(C10:C12)</f>
        <v>200000</v>
      </c>
    </row>
    <row r="14" spans="1:3" x14ac:dyDescent="0.3">
      <c r="A14" s="1" t="s">
        <v>12</v>
      </c>
      <c r="B14" s="3">
        <f>B13*0.25</f>
        <v>322500</v>
      </c>
      <c r="C14" s="3">
        <f>C13*0.25</f>
        <v>50000</v>
      </c>
    </row>
    <row r="15" spans="1:3" x14ac:dyDescent="0.3">
      <c r="A15" s="1" t="s">
        <v>14</v>
      </c>
      <c r="B15" s="3">
        <f>B13-B14</f>
        <v>967500</v>
      </c>
      <c r="C15" s="3">
        <f>C13-C14</f>
        <v>150000</v>
      </c>
    </row>
    <row r="16" spans="1:3" x14ac:dyDescent="0.3">
      <c r="A16" s="7" t="s">
        <v>13</v>
      </c>
      <c r="B16" s="20">
        <f>B15+B12</f>
        <v>1177500</v>
      </c>
      <c r="C16" s="20">
        <f>C15+C12</f>
        <v>360000</v>
      </c>
    </row>
    <row r="18" spans="1:7" x14ac:dyDescent="0.3">
      <c r="A18" s="6"/>
      <c r="B18" s="6" t="s">
        <v>15</v>
      </c>
      <c r="C18" s="6" t="s">
        <v>5</v>
      </c>
      <c r="D18" s="6" t="s">
        <v>16</v>
      </c>
      <c r="E18" s="6" t="s">
        <v>17</v>
      </c>
      <c r="F18" s="6" t="s">
        <v>18</v>
      </c>
      <c r="G18" s="6" t="s">
        <v>19</v>
      </c>
    </row>
    <row r="19" spans="1:7" x14ac:dyDescent="0.3">
      <c r="A19" s="6" t="s">
        <v>20</v>
      </c>
      <c r="B19" s="1"/>
      <c r="C19" s="8"/>
      <c r="D19" s="8"/>
      <c r="E19" s="8"/>
      <c r="F19" s="8"/>
      <c r="G19" s="8"/>
    </row>
    <row r="20" spans="1:7" x14ac:dyDescent="0.3">
      <c r="A20" s="9" t="s">
        <v>13</v>
      </c>
      <c r="B20" s="21"/>
      <c r="C20" s="21">
        <f>B16</f>
        <v>1177500</v>
      </c>
      <c r="D20" s="21">
        <f t="shared" ref="D20" si="0">C16</f>
        <v>360000</v>
      </c>
      <c r="E20" s="21">
        <f>+D20</f>
        <v>360000</v>
      </c>
      <c r="F20" s="21">
        <f t="shared" ref="F20:G20" si="1">+E20</f>
        <v>360000</v>
      </c>
      <c r="G20" s="21">
        <f t="shared" si="1"/>
        <v>360000</v>
      </c>
    </row>
    <row r="21" spans="1:7" x14ac:dyDescent="0.3">
      <c r="A21" s="9" t="s">
        <v>68</v>
      </c>
      <c r="B21" s="21"/>
      <c r="C21" s="21"/>
      <c r="D21" s="21"/>
      <c r="E21" s="21"/>
      <c r="F21" s="21"/>
      <c r="G21" s="21">
        <v>100000</v>
      </c>
    </row>
    <row r="22" spans="1:7" x14ac:dyDescent="0.3">
      <c r="A22" s="9" t="s">
        <v>22</v>
      </c>
      <c r="B22" s="21"/>
      <c r="C22" s="21">
        <f>(B9-C9)*36/360</f>
        <v>100000</v>
      </c>
      <c r="D22" s="21"/>
      <c r="E22" s="21"/>
      <c r="F22" s="21"/>
      <c r="G22" s="21">
        <v>200000</v>
      </c>
    </row>
    <row r="23" spans="1:7" x14ac:dyDescent="0.3">
      <c r="A23" s="12" t="s">
        <v>4</v>
      </c>
      <c r="B23" s="22">
        <f>SUM(B20:B22)</f>
        <v>0</v>
      </c>
      <c r="C23" s="22">
        <f t="shared" ref="C23:G23" si="2">SUM(C20:C22)</f>
        <v>1277500</v>
      </c>
      <c r="D23" s="22">
        <f t="shared" si="2"/>
        <v>360000</v>
      </c>
      <c r="E23" s="22">
        <f t="shared" si="2"/>
        <v>360000</v>
      </c>
      <c r="F23" s="22">
        <f t="shared" si="2"/>
        <v>360000</v>
      </c>
      <c r="G23" s="22">
        <f t="shared" si="2"/>
        <v>660000</v>
      </c>
    </row>
    <row r="24" spans="1:7" x14ac:dyDescent="0.3">
      <c r="A24" s="14" t="s">
        <v>23</v>
      </c>
      <c r="B24" s="16"/>
      <c r="C24" s="16"/>
      <c r="D24" s="16"/>
      <c r="E24" s="16"/>
      <c r="F24" s="16"/>
      <c r="G24" s="16"/>
    </row>
    <row r="25" spans="1:7" x14ac:dyDescent="0.3">
      <c r="A25" s="14" t="s">
        <v>28</v>
      </c>
      <c r="B25" s="16">
        <f>-B6</f>
        <v>-2200000</v>
      </c>
      <c r="C25" s="16"/>
      <c r="D25" s="16"/>
      <c r="E25" s="16"/>
      <c r="F25" s="16"/>
      <c r="G25" s="16"/>
    </row>
    <row r="26" spans="1:7" x14ac:dyDescent="0.3">
      <c r="A26" s="14" t="s">
        <v>25</v>
      </c>
      <c r="B26" s="16">
        <f>-B9*36/360</f>
        <v>-300000</v>
      </c>
      <c r="C26" s="16"/>
      <c r="D26" s="16">
        <v>0</v>
      </c>
      <c r="E26" s="16">
        <v>0</v>
      </c>
      <c r="F26" s="16">
        <v>0</v>
      </c>
      <c r="G26" s="16"/>
    </row>
    <row r="27" spans="1:7" x14ac:dyDescent="0.3">
      <c r="A27" s="17" t="s">
        <v>4</v>
      </c>
      <c r="B27" s="23">
        <f>SUM(B25:B26)</f>
        <v>-2500000</v>
      </c>
      <c r="C27" s="23">
        <f t="shared" ref="C27:G27" si="3">SUM(C25:C26)</f>
        <v>0</v>
      </c>
      <c r="D27" s="23">
        <f t="shared" si="3"/>
        <v>0</v>
      </c>
      <c r="E27" s="23">
        <f t="shared" si="3"/>
        <v>0</v>
      </c>
      <c r="F27" s="23">
        <f t="shared" si="3"/>
        <v>0</v>
      </c>
      <c r="G27" s="23">
        <f t="shared" si="3"/>
        <v>0</v>
      </c>
    </row>
    <row r="28" spans="1:7" x14ac:dyDescent="0.3">
      <c r="A28" s="1" t="s">
        <v>26</v>
      </c>
      <c r="B28" s="3">
        <f>B27</f>
        <v>-2500000</v>
      </c>
      <c r="C28" s="3">
        <f t="shared" ref="C28:G28" si="4">C23-C27</f>
        <v>1277500</v>
      </c>
      <c r="D28" s="3">
        <f t="shared" si="4"/>
        <v>360000</v>
      </c>
      <c r="E28" s="3">
        <f t="shared" si="4"/>
        <v>360000</v>
      </c>
      <c r="F28" s="3">
        <f t="shared" si="4"/>
        <v>360000</v>
      </c>
      <c r="G28" s="3">
        <f t="shared" si="4"/>
        <v>660000</v>
      </c>
    </row>
    <row r="30" spans="1:7" x14ac:dyDescent="0.3">
      <c r="B30" s="24" t="s">
        <v>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249C5-7CCE-4427-B70B-61968C50E573}">
  <dimension ref="A1:L33"/>
  <sheetViews>
    <sheetView showGridLines="0" topLeftCell="A20" zoomScale="202" zoomScaleNormal="202" workbookViewId="0">
      <selection activeCell="B32" sqref="B32"/>
    </sheetView>
  </sheetViews>
  <sheetFormatPr baseColWidth="10" defaultRowHeight="14.4" x14ac:dyDescent="0.3"/>
  <cols>
    <col min="1" max="1" width="29" customWidth="1"/>
    <col min="2" max="2" width="19" customWidth="1"/>
    <col min="3" max="4" width="15.109375" bestFit="1" customWidth="1"/>
    <col min="5" max="5" width="5.109375" customWidth="1"/>
    <col min="6" max="6" width="36" customWidth="1"/>
    <col min="7" max="7" width="13.5546875" customWidth="1"/>
    <col min="8" max="8" width="14" customWidth="1"/>
    <col min="9" max="9" width="12" bestFit="1" customWidth="1"/>
    <col min="10" max="10" width="12.88671875" bestFit="1" customWidth="1"/>
  </cols>
  <sheetData>
    <row r="1" spans="1:6" x14ac:dyDescent="0.3">
      <c r="A1" t="s">
        <v>29</v>
      </c>
    </row>
    <row r="2" spans="1:6" x14ac:dyDescent="0.3">
      <c r="A2" t="s">
        <v>30</v>
      </c>
      <c r="B2" s="4">
        <v>210000</v>
      </c>
      <c r="F2" s="25"/>
    </row>
    <row r="3" spans="1:6" x14ac:dyDescent="0.3">
      <c r="A3" t="s">
        <v>31</v>
      </c>
      <c r="B3">
        <v>0</v>
      </c>
    </row>
    <row r="5" spans="1:6" x14ac:dyDescent="0.3">
      <c r="A5" s="1"/>
      <c r="B5" s="6" t="s">
        <v>5</v>
      </c>
      <c r="C5" s="6" t="s">
        <v>16</v>
      </c>
      <c r="D5" s="6" t="s">
        <v>17</v>
      </c>
    </row>
    <row r="6" spans="1:6" x14ac:dyDescent="0.3">
      <c r="A6" s="1" t="s">
        <v>32</v>
      </c>
      <c r="B6" s="1">
        <v>1400</v>
      </c>
      <c r="C6" s="1">
        <v>3200</v>
      </c>
      <c r="D6" s="1">
        <v>2600</v>
      </c>
    </row>
    <row r="7" spans="1:6" x14ac:dyDescent="0.3">
      <c r="A7" s="1" t="s">
        <v>33</v>
      </c>
      <c r="B7" s="2">
        <v>125</v>
      </c>
      <c r="C7" s="2">
        <v>130</v>
      </c>
      <c r="D7" s="2">
        <v>115</v>
      </c>
    </row>
    <row r="8" spans="1:6" x14ac:dyDescent="0.3">
      <c r="A8" s="1" t="s">
        <v>34</v>
      </c>
      <c r="B8" s="2">
        <v>90</v>
      </c>
      <c r="C8" s="2">
        <v>90</v>
      </c>
      <c r="D8" s="2">
        <v>85</v>
      </c>
    </row>
    <row r="11" spans="1:6" x14ac:dyDescent="0.3">
      <c r="A11" t="s">
        <v>42</v>
      </c>
    </row>
    <row r="12" spans="1:6" x14ac:dyDescent="0.3">
      <c r="A12" s="6"/>
      <c r="B12" s="6" t="s">
        <v>5</v>
      </c>
      <c r="C12" s="6" t="s">
        <v>16</v>
      </c>
      <c r="D12" s="6" t="s">
        <v>17</v>
      </c>
    </row>
    <row r="13" spans="1:6" x14ac:dyDescent="0.3">
      <c r="A13" s="26" t="s">
        <v>7</v>
      </c>
      <c r="B13" s="27">
        <f>+B6*B7</f>
        <v>175000</v>
      </c>
      <c r="C13" s="27">
        <f t="shared" ref="C13:D13" si="0">+C6*C7</f>
        <v>416000</v>
      </c>
      <c r="D13" s="27">
        <f t="shared" si="0"/>
        <v>299000</v>
      </c>
    </row>
    <row r="14" spans="1:6" x14ac:dyDescent="0.3">
      <c r="A14" s="1" t="s">
        <v>35</v>
      </c>
      <c r="B14" s="28">
        <f>-B6*B8</f>
        <v>-126000</v>
      </c>
      <c r="C14" s="28">
        <f t="shared" ref="C14:D14" si="1">-C6*C8</f>
        <v>-288000</v>
      </c>
      <c r="D14" s="28">
        <f t="shared" si="1"/>
        <v>-221000</v>
      </c>
    </row>
    <row r="15" spans="1:6" x14ac:dyDescent="0.3">
      <c r="A15" s="1" t="s">
        <v>36</v>
      </c>
      <c r="B15" s="29">
        <f>-(B2-B3)/3</f>
        <v>-70000</v>
      </c>
      <c r="C15" s="29">
        <f>B15</f>
        <v>-70000</v>
      </c>
      <c r="D15" s="29">
        <f t="shared" ref="D15" si="2">C15</f>
        <v>-70000</v>
      </c>
    </row>
    <row r="16" spans="1:6" x14ac:dyDescent="0.3">
      <c r="A16" s="1" t="s">
        <v>11</v>
      </c>
      <c r="B16" s="19">
        <f>B13+SUM(B14:B15)</f>
        <v>-21000</v>
      </c>
      <c r="C16" s="19">
        <f t="shared" ref="C16:D16" si="3">C13+SUM(C14:C15)</f>
        <v>58000</v>
      </c>
      <c r="D16" s="19">
        <f t="shared" si="3"/>
        <v>8000</v>
      </c>
    </row>
    <row r="17" spans="1:12" x14ac:dyDescent="0.3">
      <c r="A17" s="33" t="s">
        <v>37</v>
      </c>
      <c r="B17" s="34">
        <f>-B16*0.25</f>
        <v>5250</v>
      </c>
      <c r="C17" s="34"/>
      <c r="D17" s="34"/>
    </row>
    <row r="18" spans="1:12" x14ac:dyDescent="0.3">
      <c r="A18" s="1" t="s">
        <v>39</v>
      </c>
      <c r="B18" s="19"/>
      <c r="C18" s="19">
        <f>-C16*0.25</f>
        <v>-14500</v>
      </c>
      <c r="D18" s="19">
        <f t="shared" ref="D18" si="4">-D16*0.25</f>
        <v>-2000</v>
      </c>
    </row>
    <row r="19" spans="1:12" x14ac:dyDescent="0.3">
      <c r="A19" s="1" t="s">
        <v>14</v>
      </c>
      <c r="B19" s="19">
        <f>B16+B17+B18</f>
        <v>-15750</v>
      </c>
      <c r="C19" s="19">
        <f>C16+C17+C18</f>
        <v>43500</v>
      </c>
      <c r="D19" s="19">
        <f t="shared" ref="D19" si="5">D16+D17+D18</f>
        <v>6000</v>
      </c>
    </row>
    <row r="20" spans="1:12" x14ac:dyDescent="0.3">
      <c r="A20" s="1" t="s">
        <v>40</v>
      </c>
      <c r="B20" s="19">
        <f>B19-B15</f>
        <v>54250</v>
      </c>
      <c r="C20" s="19">
        <f t="shared" ref="C20:D20" si="6">C19-C15</f>
        <v>113500</v>
      </c>
      <c r="D20" s="19">
        <f t="shared" si="6"/>
        <v>76000</v>
      </c>
    </row>
    <row r="23" spans="1:12" x14ac:dyDescent="0.3">
      <c r="L23" s="24"/>
    </row>
    <row r="24" spans="1:12" x14ac:dyDescent="0.3">
      <c r="A24" s="6"/>
      <c r="B24" s="6" t="s">
        <v>5</v>
      </c>
      <c r="C24" s="6" t="s">
        <v>16</v>
      </c>
      <c r="D24" s="6" t="s">
        <v>17</v>
      </c>
      <c r="L24" s="32"/>
    </row>
    <row r="25" spans="1:12" x14ac:dyDescent="0.3">
      <c r="A25" s="26" t="s">
        <v>7</v>
      </c>
      <c r="B25" s="27">
        <f t="shared" ref="B25:D26" si="7">B13</f>
        <v>175000</v>
      </c>
      <c r="C25" s="27">
        <f t="shared" si="7"/>
        <v>416000</v>
      </c>
      <c r="D25" s="27">
        <f t="shared" si="7"/>
        <v>299000</v>
      </c>
    </row>
    <row r="26" spans="1:12" x14ac:dyDescent="0.3">
      <c r="A26" s="1" t="s">
        <v>35</v>
      </c>
      <c r="B26" s="28">
        <f t="shared" si="7"/>
        <v>-126000</v>
      </c>
      <c r="C26" s="28">
        <f t="shared" si="7"/>
        <v>-288000</v>
      </c>
      <c r="D26" s="28">
        <f t="shared" si="7"/>
        <v>-221000</v>
      </c>
    </row>
    <row r="27" spans="1:12" x14ac:dyDescent="0.3">
      <c r="A27" s="1" t="s">
        <v>36</v>
      </c>
      <c r="B27" s="29">
        <f>B15</f>
        <v>-70000</v>
      </c>
      <c r="C27" s="29">
        <f>+B27</f>
        <v>-70000</v>
      </c>
      <c r="D27" s="29">
        <f t="shared" ref="D27" si="8">+C27</f>
        <v>-70000</v>
      </c>
    </row>
    <row r="28" spans="1:12" x14ac:dyDescent="0.3">
      <c r="A28" s="1" t="s">
        <v>11</v>
      </c>
      <c r="B28" s="19">
        <f>B25+SUM(B26:B27)</f>
        <v>-21000</v>
      </c>
      <c r="C28" s="10">
        <f t="shared" ref="C28:D28" si="9">C25+SUM(C26:C27)</f>
        <v>58000</v>
      </c>
      <c r="D28" s="19">
        <f t="shared" si="9"/>
        <v>8000</v>
      </c>
    </row>
    <row r="29" spans="1:12" x14ac:dyDescent="0.3">
      <c r="A29" s="33" t="s">
        <v>38</v>
      </c>
      <c r="B29" s="36">
        <v>0</v>
      </c>
      <c r="C29" s="35">
        <f>C28+B32</f>
        <v>37000</v>
      </c>
      <c r="D29" s="35">
        <f>D28</f>
        <v>8000</v>
      </c>
      <c r="F29" t="s">
        <v>70</v>
      </c>
    </row>
    <row r="30" spans="1:12" x14ac:dyDescent="0.3">
      <c r="A30" s="1" t="s">
        <v>39</v>
      </c>
      <c r="B30" s="31">
        <v>0</v>
      </c>
      <c r="C30" s="31">
        <f>-C29*0.25</f>
        <v>-9250</v>
      </c>
      <c r="D30" s="31">
        <f t="shared" ref="D30" si="10">-D29*0.25</f>
        <v>-2000</v>
      </c>
    </row>
    <row r="31" spans="1:12" x14ac:dyDescent="0.3">
      <c r="A31" s="1" t="s">
        <v>14</v>
      </c>
      <c r="B31" s="31">
        <f>B28+B30</f>
        <v>-21000</v>
      </c>
      <c r="C31" s="95">
        <f t="shared" ref="C31:D31" si="11">C28+C30</f>
        <v>48750</v>
      </c>
      <c r="D31" s="31">
        <f t="shared" si="11"/>
        <v>6000</v>
      </c>
    </row>
    <row r="32" spans="1:12" ht="28.8" x14ac:dyDescent="0.3">
      <c r="A32" s="33" t="s">
        <v>41</v>
      </c>
      <c r="B32" s="35">
        <f>B31</f>
        <v>-21000</v>
      </c>
      <c r="C32" s="30">
        <v>0</v>
      </c>
      <c r="D32" s="30"/>
      <c r="F32" s="94" t="s">
        <v>71</v>
      </c>
    </row>
    <row r="33" spans="1:6" x14ac:dyDescent="0.3">
      <c r="A33" s="1" t="s">
        <v>40</v>
      </c>
      <c r="B33" s="31">
        <f>B31-B27</f>
        <v>49000</v>
      </c>
      <c r="C33" s="31">
        <f t="shared" ref="C33:D33" si="12">C31-C27</f>
        <v>118750</v>
      </c>
      <c r="D33" s="31">
        <f t="shared" si="12"/>
        <v>76000</v>
      </c>
      <c r="F33" s="94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CCC51-A94C-4079-B0FF-E3C88AC2643D}">
  <dimension ref="A2:J72"/>
  <sheetViews>
    <sheetView showGridLines="0" workbookViewId="0">
      <selection activeCell="I31" sqref="I31"/>
    </sheetView>
  </sheetViews>
  <sheetFormatPr baseColWidth="10" defaultRowHeight="14.4" x14ac:dyDescent="0.3"/>
  <cols>
    <col min="1" max="1" width="34.5546875" bestFit="1" customWidth="1"/>
    <col min="2" max="2" width="15.33203125" bestFit="1" customWidth="1"/>
    <col min="3" max="6" width="13" bestFit="1" customWidth="1"/>
    <col min="7" max="7" width="14.88671875" bestFit="1" customWidth="1"/>
    <col min="8" max="8" width="4.33203125" customWidth="1"/>
    <col min="9" max="9" width="34.5546875" bestFit="1" customWidth="1"/>
    <col min="10" max="10" width="12.6640625" bestFit="1" customWidth="1"/>
    <col min="15" max="15" width="12.6640625" bestFit="1" customWidth="1"/>
  </cols>
  <sheetData>
    <row r="2" spans="1:9" x14ac:dyDescent="0.3">
      <c r="B2" s="37"/>
    </row>
    <row r="3" spans="1:9" x14ac:dyDescent="0.3">
      <c r="A3" s="6"/>
      <c r="B3" s="6" t="s">
        <v>5</v>
      </c>
      <c r="C3" s="6" t="s">
        <v>16</v>
      </c>
      <c r="D3" s="6" t="s">
        <v>17</v>
      </c>
      <c r="E3" s="6" t="s">
        <v>18</v>
      </c>
      <c r="F3" s="6" t="s">
        <v>19</v>
      </c>
    </row>
    <row r="4" spans="1:9" x14ac:dyDescent="0.3">
      <c r="A4" s="6" t="s">
        <v>43</v>
      </c>
      <c r="B4" s="6">
        <v>2000</v>
      </c>
      <c r="C4" s="6">
        <v>2200</v>
      </c>
      <c r="D4" s="6">
        <f>C4*1.1</f>
        <v>2420</v>
      </c>
      <c r="E4" s="6">
        <f>D4*1.1</f>
        <v>2662</v>
      </c>
      <c r="F4" s="6">
        <f>E4</f>
        <v>2662</v>
      </c>
    </row>
    <row r="5" spans="1:9" x14ac:dyDescent="0.3">
      <c r="I5" s="52" t="s">
        <v>44</v>
      </c>
    </row>
    <row r="6" spans="1:9" x14ac:dyDescent="0.3">
      <c r="A6" s="38" t="s">
        <v>45</v>
      </c>
      <c r="I6" s="53">
        <v>790</v>
      </c>
    </row>
    <row r="7" spans="1:9" x14ac:dyDescent="0.3">
      <c r="A7" s="6"/>
      <c r="B7" s="6" t="s">
        <v>5</v>
      </c>
      <c r="C7" s="6" t="s">
        <v>16</v>
      </c>
      <c r="D7" s="6" t="s">
        <v>17</v>
      </c>
      <c r="E7" s="6" t="s">
        <v>18</v>
      </c>
      <c r="F7" s="6" t="s">
        <v>19</v>
      </c>
      <c r="I7" s="54" t="s">
        <v>34</v>
      </c>
    </row>
    <row r="8" spans="1:9" x14ac:dyDescent="0.3">
      <c r="A8" s="26" t="s">
        <v>7</v>
      </c>
      <c r="B8" s="27">
        <f t="shared" ref="B8:F8" si="0">B4*$I$6</f>
        <v>1580000</v>
      </c>
      <c r="C8" s="27">
        <f t="shared" si="0"/>
        <v>1738000</v>
      </c>
      <c r="D8" s="27">
        <f t="shared" si="0"/>
        <v>1911800</v>
      </c>
      <c r="E8" s="27">
        <f t="shared" si="0"/>
        <v>2102980</v>
      </c>
      <c r="F8" s="27">
        <f t="shared" si="0"/>
        <v>2102980</v>
      </c>
      <c r="I8" s="55">
        <v>660</v>
      </c>
    </row>
    <row r="9" spans="1:9" x14ac:dyDescent="0.3">
      <c r="A9" s="1" t="s">
        <v>35</v>
      </c>
      <c r="B9" s="39">
        <f>$I$8*B4</f>
        <v>1320000</v>
      </c>
      <c r="C9" s="39">
        <f t="shared" ref="C9:F9" si="1">$I$8*C4</f>
        <v>1452000</v>
      </c>
      <c r="D9" s="39">
        <f t="shared" si="1"/>
        <v>1597200</v>
      </c>
      <c r="E9" s="39">
        <f t="shared" si="1"/>
        <v>1756920</v>
      </c>
      <c r="F9" s="39">
        <f t="shared" si="1"/>
        <v>1756920</v>
      </c>
      <c r="I9" s="56" t="s">
        <v>46</v>
      </c>
    </row>
    <row r="10" spans="1:9" x14ac:dyDescent="0.3">
      <c r="A10" s="1" t="s">
        <v>36</v>
      </c>
      <c r="B10" s="3">
        <f>I10/I12</f>
        <v>140000</v>
      </c>
      <c r="C10" s="3">
        <f>B10</f>
        <v>140000</v>
      </c>
      <c r="D10" s="3">
        <f t="shared" ref="D10:F10" si="2">C10</f>
        <v>140000</v>
      </c>
      <c r="E10" s="3">
        <f t="shared" si="2"/>
        <v>140000</v>
      </c>
      <c r="F10" s="3">
        <f t="shared" si="2"/>
        <v>140000</v>
      </c>
      <c r="I10" s="57">
        <v>700000</v>
      </c>
    </row>
    <row r="11" spans="1:9" x14ac:dyDescent="0.3">
      <c r="A11" s="1" t="s">
        <v>11</v>
      </c>
      <c r="B11" s="19">
        <f>B8-SUM(B9:B10)</f>
        <v>120000</v>
      </c>
      <c r="C11" s="19">
        <f t="shared" ref="C11:F11" si="3">C8-SUM(C9:C10)</f>
        <v>146000</v>
      </c>
      <c r="D11" s="19">
        <f t="shared" si="3"/>
        <v>174600</v>
      </c>
      <c r="E11" s="19">
        <f t="shared" si="3"/>
        <v>206060</v>
      </c>
      <c r="F11" s="19">
        <f t="shared" si="3"/>
        <v>206060</v>
      </c>
      <c r="I11" s="58" t="s">
        <v>47</v>
      </c>
    </row>
    <row r="12" spans="1:9" x14ac:dyDescent="0.3">
      <c r="A12" s="1" t="s">
        <v>39</v>
      </c>
      <c r="B12" s="19">
        <f>B11*0.25</f>
        <v>30000</v>
      </c>
      <c r="C12" s="19">
        <f t="shared" ref="C12:F12" si="4">C11*0.25</f>
        <v>36500</v>
      </c>
      <c r="D12" s="19">
        <f t="shared" si="4"/>
        <v>43650</v>
      </c>
      <c r="E12" s="19">
        <f t="shared" si="4"/>
        <v>51515</v>
      </c>
      <c r="F12" s="19">
        <f t="shared" si="4"/>
        <v>51515</v>
      </c>
      <c r="I12" s="58">
        <v>5</v>
      </c>
    </row>
    <row r="13" spans="1:9" x14ac:dyDescent="0.3">
      <c r="A13" s="1" t="s">
        <v>14</v>
      </c>
      <c r="B13" s="19">
        <f>B11-B12</f>
        <v>90000</v>
      </c>
      <c r="C13" s="19">
        <f t="shared" ref="C13:F13" si="5">C11-C12</f>
        <v>109500</v>
      </c>
      <c r="D13" s="19">
        <f t="shared" si="5"/>
        <v>130950</v>
      </c>
      <c r="E13" s="19">
        <f t="shared" si="5"/>
        <v>154545</v>
      </c>
      <c r="F13" s="19">
        <f t="shared" si="5"/>
        <v>154545</v>
      </c>
    </row>
    <row r="14" spans="1:9" x14ac:dyDescent="0.3">
      <c r="A14" s="1" t="s">
        <v>40</v>
      </c>
      <c r="B14" s="19">
        <f>B13+B10</f>
        <v>230000</v>
      </c>
      <c r="C14" s="19">
        <f t="shared" ref="C14:F14" si="6">C13+C10</f>
        <v>249500</v>
      </c>
      <c r="D14" s="19">
        <f t="shared" si="6"/>
        <v>270950</v>
      </c>
      <c r="E14" s="19">
        <f t="shared" si="6"/>
        <v>294545</v>
      </c>
      <c r="F14" s="19">
        <f t="shared" si="6"/>
        <v>294545</v>
      </c>
      <c r="G14" s="24">
        <f>SUM(B14:F14)</f>
        <v>1339540</v>
      </c>
    </row>
    <row r="19" spans="1:8" x14ac:dyDescent="0.3">
      <c r="A19" s="6"/>
      <c r="B19" s="6" t="s">
        <v>15</v>
      </c>
      <c r="C19" s="6" t="s">
        <v>5</v>
      </c>
      <c r="D19" s="6" t="s">
        <v>16</v>
      </c>
      <c r="E19" s="6" t="s">
        <v>17</v>
      </c>
      <c r="F19" s="6" t="s">
        <v>18</v>
      </c>
      <c r="G19" s="6" t="s">
        <v>19</v>
      </c>
      <c r="H19" s="40"/>
    </row>
    <row r="20" spans="1:8" x14ac:dyDescent="0.3">
      <c r="A20" s="6" t="s">
        <v>20</v>
      </c>
      <c r="B20" s="1"/>
      <c r="C20" s="1"/>
      <c r="D20" s="1"/>
      <c r="E20" s="1"/>
      <c r="F20" s="1"/>
      <c r="G20" s="1"/>
      <c r="H20" s="41"/>
    </row>
    <row r="21" spans="1:8" x14ac:dyDescent="0.3">
      <c r="A21" s="1" t="s">
        <v>13</v>
      </c>
      <c r="B21" s="1"/>
      <c r="C21" s="42">
        <f>B14</f>
        <v>230000</v>
      </c>
      <c r="D21" s="42">
        <f>C14</f>
        <v>249500</v>
      </c>
      <c r="E21" s="42">
        <f>D14</f>
        <v>270950</v>
      </c>
      <c r="F21" s="42">
        <f>E14</f>
        <v>294545</v>
      </c>
      <c r="G21" s="42">
        <f>F14</f>
        <v>294545</v>
      </c>
      <c r="H21" s="24"/>
    </row>
    <row r="22" spans="1:8" x14ac:dyDescent="0.3">
      <c r="A22" s="1" t="s">
        <v>48</v>
      </c>
      <c r="B22" s="1"/>
      <c r="C22" s="19"/>
      <c r="D22" s="19"/>
      <c r="E22" s="19"/>
      <c r="F22" s="19"/>
      <c r="G22" s="19">
        <f>50000-(25%*(50000-(I10-SUM(B10:F10))))</f>
        <v>37500</v>
      </c>
      <c r="H22" s="24"/>
    </row>
    <row r="23" spans="1:8" x14ac:dyDescent="0.3">
      <c r="A23" s="1" t="s">
        <v>22</v>
      </c>
      <c r="B23" s="1"/>
      <c r="C23" s="19"/>
      <c r="D23" s="19"/>
      <c r="E23" s="19"/>
      <c r="F23" s="19"/>
      <c r="G23" s="19">
        <f>-B27</f>
        <v>263333.33333333331</v>
      </c>
      <c r="H23" s="43"/>
    </row>
    <row r="24" spans="1:8" x14ac:dyDescent="0.3">
      <c r="A24" s="1" t="s">
        <v>4</v>
      </c>
      <c r="B24" s="3">
        <f>SUM(B21:B23)</f>
        <v>0</v>
      </c>
      <c r="C24" s="3">
        <f t="shared" ref="C24:G24" si="7">SUM(C21:C23)</f>
        <v>230000</v>
      </c>
      <c r="D24" s="3">
        <f t="shared" si="7"/>
        <v>249500</v>
      </c>
      <c r="E24" s="3">
        <f t="shared" si="7"/>
        <v>270950</v>
      </c>
      <c r="F24" s="3">
        <f t="shared" si="7"/>
        <v>294545</v>
      </c>
      <c r="G24" s="3">
        <f t="shared" si="7"/>
        <v>595378.33333333326</v>
      </c>
    </row>
    <row r="25" spans="1:8" x14ac:dyDescent="0.3">
      <c r="A25" s="1" t="s">
        <v>23</v>
      </c>
      <c r="B25" s="1"/>
      <c r="C25" s="19"/>
      <c r="D25" s="19"/>
      <c r="E25" s="19"/>
      <c r="F25" s="19"/>
      <c r="G25" s="19"/>
      <c r="H25" s="24"/>
    </row>
    <row r="26" spans="1:8" x14ac:dyDescent="0.3">
      <c r="A26" s="1" t="s">
        <v>24</v>
      </c>
      <c r="B26" s="3">
        <f>-I10</f>
        <v>-700000</v>
      </c>
      <c r="C26" s="19"/>
      <c r="D26" s="19"/>
      <c r="E26" s="19"/>
      <c r="F26" s="19"/>
      <c r="G26" s="19"/>
      <c r="H26" s="24"/>
    </row>
    <row r="27" spans="1:8" x14ac:dyDescent="0.3">
      <c r="A27" s="1" t="s">
        <v>25</v>
      </c>
      <c r="B27" s="19">
        <f>-2/12*B8</f>
        <v>-263333.33333333331</v>
      </c>
      <c r="C27" s="19"/>
      <c r="D27" s="19"/>
      <c r="E27" s="19"/>
      <c r="F27" s="19"/>
      <c r="G27" s="19"/>
      <c r="H27" s="24"/>
    </row>
    <row r="28" spans="1:8" x14ac:dyDescent="0.3">
      <c r="A28" s="1" t="s">
        <v>4</v>
      </c>
      <c r="B28" s="19">
        <f>SUM(B26:B27)</f>
        <v>-963333.33333333326</v>
      </c>
      <c r="C28" s="19">
        <f t="shared" ref="C28:G28" si="8">SUM(C26:C27)</f>
        <v>0</v>
      </c>
      <c r="D28" s="19">
        <f t="shared" si="8"/>
        <v>0</v>
      </c>
      <c r="E28" s="19">
        <f t="shared" si="8"/>
        <v>0</v>
      </c>
      <c r="F28" s="19">
        <f t="shared" si="8"/>
        <v>0</v>
      </c>
      <c r="G28" s="19">
        <f t="shared" si="8"/>
        <v>0</v>
      </c>
      <c r="H28" s="24"/>
    </row>
    <row r="29" spans="1:8" x14ac:dyDescent="0.3">
      <c r="A29" s="33" t="s">
        <v>26</v>
      </c>
      <c r="B29" s="34">
        <f>B24+B28</f>
        <v>-963333.33333333326</v>
      </c>
      <c r="C29" s="34">
        <f t="shared" ref="C29:G29" si="9">C24-C28</f>
        <v>230000</v>
      </c>
      <c r="D29" s="34">
        <f t="shared" si="9"/>
        <v>249500</v>
      </c>
      <c r="E29" s="34">
        <f t="shared" si="9"/>
        <v>270950</v>
      </c>
      <c r="F29" s="34">
        <f t="shared" si="9"/>
        <v>294545</v>
      </c>
      <c r="G29" s="34">
        <f t="shared" si="9"/>
        <v>595378.33333333326</v>
      </c>
      <c r="H29" s="24"/>
    </row>
    <row r="30" spans="1:8" x14ac:dyDescent="0.3">
      <c r="A30" s="46" t="s">
        <v>49</v>
      </c>
      <c r="B30" s="47">
        <f>SUM(B29:G29)</f>
        <v>677040</v>
      </c>
      <c r="H30" s="24"/>
    </row>
    <row r="31" spans="1:8" x14ac:dyDescent="0.3">
      <c r="A31" t="s">
        <v>51</v>
      </c>
      <c r="C31" s="24"/>
      <c r="D31" s="24"/>
      <c r="E31" s="24"/>
      <c r="F31" s="24"/>
      <c r="G31" s="24"/>
      <c r="H31" s="24"/>
    </row>
    <row r="32" spans="1:8" x14ac:dyDescent="0.3">
      <c r="A32" t="s">
        <v>52</v>
      </c>
      <c r="B32" s="48">
        <v>0.1</v>
      </c>
      <c r="C32" s="24"/>
      <c r="D32" s="24"/>
      <c r="E32" s="24"/>
      <c r="F32" s="24"/>
      <c r="G32" s="24"/>
      <c r="H32" s="24"/>
    </row>
    <row r="33" spans="1:9" x14ac:dyDescent="0.3">
      <c r="A33" s="44" t="s">
        <v>27</v>
      </c>
      <c r="B33" s="45">
        <f>B29</f>
        <v>-963333.33333333326</v>
      </c>
      <c r="C33" s="45">
        <f>C29*(1+$B$32)^-1</f>
        <v>209090.90909090909</v>
      </c>
      <c r="D33" s="45">
        <f>D29*(1+$B$32)^-2</f>
        <v>206198.34710743799</v>
      </c>
      <c r="E33" s="45">
        <f>E29*(1+$B$32)^-3</f>
        <v>203568.74530428243</v>
      </c>
      <c r="F33" s="45">
        <f>F29*(1+$B$32)^-4</f>
        <v>201178.19821050469</v>
      </c>
      <c r="G33" s="45">
        <f>G29*(1+$B$32)^-5</f>
        <v>369683.10245408787</v>
      </c>
      <c r="H33" s="24"/>
    </row>
    <row r="34" spans="1:9" x14ac:dyDescent="0.3">
      <c r="A34" s="44" t="s">
        <v>53</v>
      </c>
      <c r="B34" s="49">
        <f>SUM(B33:G33)</f>
        <v>226385.96883388879</v>
      </c>
      <c r="C34" s="24"/>
      <c r="D34" s="24"/>
      <c r="E34" s="24"/>
      <c r="F34" s="24"/>
      <c r="G34" s="24"/>
      <c r="H34" s="24"/>
    </row>
    <row r="35" spans="1:9" x14ac:dyDescent="0.3">
      <c r="A35" s="24">
        <f>NPV(B32,C29:G29)+B33</f>
        <v>226385.96883388865</v>
      </c>
    </row>
    <row r="36" spans="1:9" x14ac:dyDescent="0.3">
      <c r="H36" s="5"/>
    </row>
    <row r="39" spans="1:9" x14ac:dyDescent="0.3">
      <c r="A39" s="6"/>
      <c r="B39" s="6" t="s">
        <v>5</v>
      </c>
      <c r="C39" s="6" t="s">
        <v>16</v>
      </c>
      <c r="D39" s="6" t="s">
        <v>17</v>
      </c>
      <c r="E39" s="6" t="s">
        <v>18</v>
      </c>
      <c r="F39" s="6" t="s">
        <v>19</v>
      </c>
    </row>
    <row r="40" spans="1:9" x14ac:dyDescent="0.3">
      <c r="A40" s="6" t="s">
        <v>43</v>
      </c>
      <c r="B40" s="6">
        <v>2000</v>
      </c>
      <c r="C40" s="6">
        <v>2200</v>
      </c>
      <c r="D40" s="6">
        <f>C40*1.1</f>
        <v>2420</v>
      </c>
      <c r="E40" s="6">
        <f>D40*1.1</f>
        <v>2662</v>
      </c>
      <c r="F40" s="6">
        <f>E40</f>
        <v>2662</v>
      </c>
    </row>
    <row r="41" spans="1:9" x14ac:dyDescent="0.3">
      <c r="I41" s="60" t="s">
        <v>44</v>
      </c>
    </row>
    <row r="42" spans="1:9" x14ac:dyDescent="0.3">
      <c r="A42" s="38" t="s">
        <v>54</v>
      </c>
      <c r="I42" s="61">
        <v>790</v>
      </c>
    </row>
    <row r="43" spans="1:9" x14ac:dyDescent="0.3">
      <c r="A43" s="6"/>
      <c r="B43" s="6" t="s">
        <v>5</v>
      </c>
      <c r="C43" s="6" t="s">
        <v>16</v>
      </c>
      <c r="D43" s="6" t="s">
        <v>17</v>
      </c>
      <c r="E43" s="6" t="s">
        <v>18</v>
      </c>
      <c r="F43" s="6" t="s">
        <v>19</v>
      </c>
      <c r="I43" s="54" t="s">
        <v>34</v>
      </c>
    </row>
    <row r="44" spans="1:9" x14ac:dyDescent="0.3">
      <c r="A44" s="26" t="s">
        <v>7</v>
      </c>
      <c r="B44" s="27">
        <f t="shared" ref="B44:F44" si="10">B40*$I$6</f>
        <v>1580000</v>
      </c>
      <c r="C44" s="27">
        <f t="shared" si="10"/>
        <v>1738000</v>
      </c>
      <c r="D44" s="27">
        <f t="shared" si="10"/>
        <v>1911800</v>
      </c>
      <c r="E44" s="27">
        <f t="shared" si="10"/>
        <v>2102980</v>
      </c>
      <c r="F44" s="27">
        <f t="shared" si="10"/>
        <v>2102980</v>
      </c>
      <c r="I44" s="55">
        <v>680</v>
      </c>
    </row>
    <row r="45" spans="1:9" x14ac:dyDescent="0.3">
      <c r="A45" s="1" t="s">
        <v>35</v>
      </c>
      <c r="B45" s="39">
        <f>$I$44*B40</f>
        <v>1360000</v>
      </c>
      <c r="C45" s="39">
        <f t="shared" ref="C45:F45" si="11">$I$44*C40</f>
        <v>1496000</v>
      </c>
      <c r="D45" s="39">
        <f t="shared" si="11"/>
        <v>1645600</v>
      </c>
      <c r="E45" s="39">
        <f t="shared" si="11"/>
        <v>1810160</v>
      </c>
      <c r="F45" s="39">
        <f t="shared" si="11"/>
        <v>1810160</v>
      </c>
      <c r="I45" s="56" t="s">
        <v>46</v>
      </c>
    </row>
    <row r="46" spans="1:9" x14ac:dyDescent="0.3">
      <c r="A46" s="1" t="s">
        <v>36</v>
      </c>
      <c r="B46" s="3">
        <f>I46/I48</f>
        <v>90000</v>
      </c>
      <c r="C46" s="3">
        <f>B46</f>
        <v>90000</v>
      </c>
      <c r="D46" s="3">
        <f t="shared" ref="D46:F46" si="12">C46</f>
        <v>90000</v>
      </c>
      <c r="E46" s="3">
        <f t="shared" si="12"/>
        <v>90000</v>
      </c>
      <c r="F46" s="3">
        <f t="shared" si="12"/>
        <v>90000</v>
      </c>
      <c r="I46" s="57">
        <v>450000</v>
      </c>
    </row>
    <row r="47" spans="1:9" x14ac:dyDescent="0.3">
      <c r="A47" s="1" t="s">
        <v>11</v>
      </c>
      <c r="B47" s="19">
        <f>B44-SUM(B45:B46)</f>
        <v>130000</v>
      </c>
      <c r="C47" s="19">
        <f t="shared" ref="C47" si="13">C44-SUM(C45:C46)</f>
        <v>152000</v>
      </c>
      <c r="D47" s="19">
        <f t="shared" ref="D47:F47" si="14">D44-SUM(D45:D46)</f>
        <v>176200</v>
      </c>
      <c r="E47" s="19">
        <f t="shared" si="14"/>
        <v>202820</v>
      </c>
      <c r="F47" s="19">
        <f t="shared" si="14"/>
        <v>202820</v>
      </c>
      <c r="I47" s="58" t="s">
        <v>47</v>
      </c>
    </row>
    <row r="48" spans="1:9" x14ac:dyDescent="0.3">
      <c r="A48" s="1" t="s">
        <v>39</v>
      </c>
      <c r="B48" s="19">
        <f>B47*0.25</f>
        <v>32500</v>
      </c>
      <c r="C48" s="19">
        <f t="shared" ref="C48:F48" si="15">C47*0.25</f>
        <v>38000</v>
      </c>
      <c r="D48" s="19">
        <f t="shared" si="15"/>
        <v>44050</v>
      </c>
      <c r="E48" s="19">
        <f t="shared" si="15"/>
        <v>50705</v>
      </c>
      <c r="F48" s="19">
        <f t="shared" si="15"/>
        <v>50705</v>
      </c>
      <c r="I48" s="58">
        <v>5</v>
      </c>
    </row>
    <row r="49" spans="1:7" x14ac:dyDescent="0.3">
      <c r="A49" s="1" t="s">
        <v>14</v>
      </c>
      <c r="B49" s="19">
        <f>B47-B48</f>
        <v>97500</v>
      </c>
      <c r="C49" s="19">
        <f t="shared" ref="C49:F49" si="16">C47-C48</f>
        <v>114000</v>
      </c>
      <c r="D49" s="19">
        <f t="shared" si="16"/>
        <v>132150</v>
      </c>
      <c r="E49" s="19">
        <f t="shared" si="16"/>
        <v>152115</v>
      </c>
      <c r="F49" s="19">
        <f t="shared" si="16"/>
        <v>152115</v>
      </c>
    </row>
    <row r="50" spans="1:7" x14ac:dyDescent="0.3">
      <c r="A50" s="1" t="s">
        <v>40</v>
      </c>
      <c r="B50" s="19">
        <f>B49+B46</f>
        <v>187500</v>
      </c>
      <c r="C50" s="19">
        <f t="shared" ref="C50:F50" si="17">C49+C46</f>
        <v>204000</v>
      </c>
      <c r="D50" s="19">
        <f t="shared" si="17"/>
        <v>222150</v>
      </c>
      <c r="E50" s="19">
        <f t="shared" si="17"/>
        <v>242115</v>
      </c>
      <c r="F50" s="19">
        <f t="shared" si="17"/>
        <v>242115</v>
      </c>
      <c r="G50" s="24"/>
    </row>
    <row r="52" spans="1:7" x14ac:dyDescent="0.3">
      <c r="A52" s="6"/>
      <c r="B52" s="6" t="s">
        <v>15</v>
      </c>
      <c r="C52" s="6" t="s">
        <v>5</v>
      </c>
      <c r="D52" s="6" t="s">
        <v>16</v>
      </c>
      <c r="E52" s="6" t="s">
        <v>17</v>
      </c>
      <c r="F52" s="6" t="s">
        <v>18</v>
      </c>
      <c r="G52" s="6" t="s">
        <v>19</v>
      </c>
    </row>
    <row r="53" spans="1:7" x14ac:dyDescent="0.3">
      <c r="A53" s="6" t="s">
        <v>20</v>
      </c>
      <c r="B53" s="1"/>
      <c r="C53" s="8"/>
      <c r="D53" s="8"/>
      <c r="E53" s="8"/>
      <c r="F53" s="8"/>
      <c r="G53" s="8"/>
    </row>
    <row r="54" spans="1:7" x14ac:dyDescent="0.3">
      <c r="A54" s="9" t="s">
        <v>13</v>
      </c>
      <c r="B54" s="9"/>
      <c r="C54" s="10">
        <f>B50</f>
        <v>187500</v>
      </c>
      <c r="D54" s="10">
        <f t="shared" ref="D54:G54" si="18">C50</f>
        <v>204000</v>
      </c>
      <c r="E54" s="10">
        <f t="shared" si="18"/>
        <v>222150</v>
      </c>
      <c r="F54" s="10">
        <f t="shared" si="18"/>
        <v>242115</v>
      </c>
      <c r="G54" s="10">
        <f t="shared" si="18"/>
        <v>242115</v>
      </c>
    </row>
    <row r="55" spans="1:7" x14ac:dyDescent="0.3">
      <c r="A55" s="9" t="s">
        <v>21</v>
      </c>
      <c r="B55" s="9"/>
      <c r="C55" s="10"/>
      <c r="D55" s="10"/>
      <c r="E55" s="10"/>
      <c r="F55" s="10"/>
      <c r="G55" s="10">
        <v>0</v>
      </c>
    </row>
    <row r="56" spans="1:7" x14ac:dyDescent="0.3">
      <c r="A56" s="9" t="s">
        <v>22</v>
      </c>
      <c r="B56" s="9"/>
      <c r="C56" s="11"/>
      <c r="D56" s="11"/>
      <c r="E56" s="11"/>
      <c r="F56" s="11"/>
      <c r="G56" s="11">
        <f>-B60</f>
        <v>263333.33333333331</v>
      </c>
    </row>
    <row r="57" spans="1:7" x14ac:dyDescent="0.3">
      <c r="A57" s="12" t="s">
        <v>4</v>
      </c>
      <c r="B57" s="12">
        <f>SUM(B54:B56)</f>
        <v>0</v>
      </c>
      <c r="C57" s="13">
        <f t="shared" ref="C57:G57" si="19">SUM(C54:C56)</f>
        <v>187500</v>
      </c>
      <c r="D57" s="13">
        <f t="shared" si="19"/>
        <v>204000</v>
      </c>
      <c r="E57" s="13">
        <f t="shared" si="19"/>
        <v>222150</v>
      </c>
      <c r="F57" s="13">
        <f t="shared" si="19"/>
        <v>242115</v>
      </c>
      <c r="G57" s="13">
        <f t="shared" si="19"/>
        <v>505448.33333333331</v>
      </c>
    </row>
    <row r="58" spans="1:7" x14ac:dyDescent="0.3">
      <c r="A58" s="14" t="s">
        <v>23</v>
      </c>
      <c r="B58" s="14"/>
      <c r="C58" s="15"/>
      <c r="D58" s="15"/>
      <c r="E58" s="15"/>
      <c r="F58" s="15"/>
      <c r="G58" s="15"/>
    </row>
    <row r="59" spans="1:7" x14ac:dyDescent="0.3">
      <c r="A59" s="14" t="s">
        <v>24</v>
      </c>
      <c r="B59" s="16">
        <f>-I46</f>
        <v>-450000</v>
      </c>
      <c r="C59" s="15"/>
      <c r="D59" s="15"/>
      <c r="E59" s="15"/>
      <c r="F59" s="15"/>
      <c r="G59" s="15"/>
    </row>
    <row r="60" spans="1:7" x14ac:dyDescent="0.3">
      <c r="A60" s="14" t="s">
        <v>25</v>
      </c>
      <c r="B60" s="15">
        <f>B27</f>
        <v>-263333.33333333331</v>
      </c>
      <c r="C60" s="15"/>
      <c r="D60" s="15"/>
      <c r="E60" s="15"/>
      <c r="F60" s="15"/>
      <c r="G60" s="15"/>
    </row>
    <row r="61" spans="1:7" x14ac:dyDescent="0.3">
      <c r="A61" s="17" t="s">
        <v>4</v>
      </c>
      <c r="B61" s="18">
        <f>SUM(B59:B60)</f>
        <v>-713333.33333333326</v>
      </c>
      <c r="C61" s="18">
        <f t="shared" ref="C61:G61" si="20">SUM(C59:C60)</f>
        <v>0</v>
      </c>
      <c r="D61" s="18">
        <f t="shared" si="20"/>
        <v>0</v>
      </c>
      <c r="E61" s="18">
        <f t="shared" si="20"/>
        <v>0</v>
      </c>
      <c r="F61" s="18">
        <f t="shared" si="20"/>
        <v>0</v>
      </c>
      <c r="G61" s="18">
        <f t="shared" si="20"/>
        <v>0</v>
      </c>
    </row>
    <row r="62" spans="1:7" x14ac:dyDescent="0.3">
      <c r="A62" s="1" t="s">
        <v>26</v>
      </c>
      <c r="B62" s="19">
        <f>B61</f>
        <v>-713333.33333333326</v>
      </c>
      <c r="C62" s="19">
        <f t="shared" ref="C62:G62" si="21">C57-C61</f>
        <v>187500</v>
      </c>
      <c r="D62" s="19">
        <f t="shared" si="21"/>
        <v>204000</v>
      </c>
      <c r="E62" s="19">
        <f t="shared" si="21"/>
        <v>222150</v>
      </c>
      <c r="F62" s="19">
        <f t="shared" si="21"/>
        <v>242115</v>
      </c>
      <c r="G62" s="19">
        <f t="shared" si="21"/>
        <v>505448.33333333331</v>
      </c>
    </row>
    <row r="63" spans="1:7" x14ac:dyDescent="0.3">
      <c r="A63" t="s">
        <v>49</v>
      </c>
    </row>
    <row r="64" spans="1:7" x14ac:dyDescent="0.3">
      <c r="A64" t="s">
        <v>50</v>
      </c>
      <c r="B64" s="24">
        <f>SUM(B62:G62)</f>
        <v>647880</v>
      </c>
    </row>
    <row r="65" spans="1:10" x14ac:dyDescent="0.3">
      <c r="A65" t="s">
        <v>51</v>
      </c>
    </row>
    <row r="66" spans="1:10" x14ac:dyDescent="0.3">
      <c r="A66" t="s">
        <v>52</v>
      </c>
      <c r="B66" s="48">
        <v>0.1</v>
      </c>
    </row>
    <row r="67" spans="1:10" x14ac:dyDescent="0.3">
      <c r="A67" s="7" t="s">
        <v>27</v>
      </c>
      <c r="B67" s="20">
        <f>B62</f>
        <v>-713333.33333333326</v>
      </c>
      <c r="C67" s="20">
        <f>C62*(1+$B$32)^-1</f>
        <v>170454.54545454544</v>
      </c>
      <c r="D67" s="20">
        <f>D62*(1+$B$32)^-2</f>
        <v>168595.04132231403</v>
      </c>
      <c r="E67" s="20">
        <f>E62*(1+$B$32)^-3</f>
        <v>166904.58302028544</v>
      </c>
      <c r="F67" s="20">
        <f>F62*(1+$B$32)^-4</f>
        <v>165367.80274571406</v>
      </c>
      <c r="G67" s="20">
        <f>G62*(1+$B$32)^-5</f>
        <v>313843.64787137805</v>
      </c>
    </row>
    <row r="68" spans="1:10" x14ac:dyDescent="0.3">
      <c r="A68" t="s">
        <v>53</v>
      </c>
      <c r="B68" s="24">
        <f>SUM(B67:G67)</f>
        <v>271832.28708090377</v>
      </c>
    </row>
    <row r="69" spans="1:10" x14ac:dyDescent="0.3">
      <c r="A69" s="24">
        <f>B67+NPV(B66,C62:G62)</f>
        <v>271832.28708090377</v>
      </c>
    </row>
    <row r="72" spans="1:10" x14ac:dyDescent="0.3">
      <c r="A72" t="s">
        <v>55</v>
      </c>
      <c r="B72" s="50">
        <f>IRR(B62:G62)</f>
        <v>0.21779187358672814</v>
      </c>
      <c r="J72" s="50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B20A4-D943-4DD4-8E6B-82BD5A28B3F4}">
  <dimension ref="A1:E35"/>
  <sheetViews>
    <sheetView showGridLines="0" workbookViewId="0">
      <selection activeCell="I27" sqref="I27"/>
    </sheetView>
  </sheetViews>
  <sheetFormatPr baseColWidth="10" defaultRowHeight="14.4" x14ac:dyDescent="0.3"/>
  <cols>
    <col min="1" max="1" width="36.44140625" customWidth="1"/>
    <col min="2" max="2" width="19.6640625" bestFit="1" customWidth="1"/>
    <col min="3" max="4" width="15.109375" bestFit="1" customWidth="1"/>
  </cols>
  <sheetData>
    <row r="1" spans="1:4" x14ac:dyDescent="0.3">
      <c r="A1" t="s">
        <v>56</v>
      </c>
      <c r="B1">
        <v>30000</v>
      </c>
    </row>
    <row r="2" spans="1:4" x14ac:dyDescent="0.3">
      <c r="A2" t="s">
        <v>29</v>
      </c>
    </row>
    <row r="3" spans="1:4" x14ac:dyDescent="0.3">
      <c r="A3" t="s">
        <v>30</v>
      </c>
      <c r="B3">
        <v>350000</v>
      </c>
      <c r="D3" t="s">
        <v>57</v>
      </c>
    </row>
    <row r="5" spans="1:4" x14ac:dyDescent="0.3">
      <c r="A5" s="3" t="s">
        <v>7</v>
      </c>
      <c r="B5" s="3">
        <v>100000</v>
      </c>
      <c r="C5" s="3">
        <v>160000</v>
      </c>
      <c r="D5" s="3">
        <v>200000</v>
      </c>
    </row>
    <row r="6" spans="1:4" x14ac:dyDescent="0.3">
      <c r="A6" s="3" t="s">
        <v>35</v>
      </c>
      <c r="B6" s="3">
        <f>50000</f>
        <v>50000</v>
      </c>
      <c r="C6" s="3">
        <v>80000</v>
      </c>
      <c r="D6" s="3">
        <f>D5*0.5</f>
        <v>100000</v>
      </c>
    </row>
    <row r="9" spans="1:4" x14ac:dyDescent="0.3">
      <c r="A9" s="6"/>
      <c r="B9" s="6" t="s">
        <v>5</v>
      </c>
      <c r="C9" s="6" t="s">
        <v>16</v>
      </c>
      <c r="D9" s="6" t="s">
        <v>17</v>
      </c>
    </row>
    <row r="10" spans="1:4" x14ac:dyDescent="0.3">
      <c r="A10" s="26" t="s">
        <v>7</v>
      </c>
      <c r="B10" s="27">
        <f t="shared" ref="B10:D11" si="0">+B5</f>
        <v>100000</v>
      </c>
      <c r="C10" s="27">
        <f t="shared" si="0"/>
        <v>160000</v>
      </c>
      <c r="D10" s="27">
        <f t="shared" si="0"/>
        <v>200000</v>
      </c>
    </row>
    <row r="11" spans="1:4" x14ac:dyDescent="0.3">
      <c r="A11" s="1" t="s">
        <v>35</v>
      </c>
      <c r="B11" s="27">
        <f t="shared" si="0"/>
        <v>50000</v>
      </c>
      <c r="C11" s="27">
        <f t="shared" si="0"/>
        <v>80000</v>
      </c>
      <c r="D11" s="27">
        <f t="shared" si="0"/>
        <v>100000</v>
      </c>
    </row>
    <row r="12" spans="1:4" x14ac:dyDescent="0.3">
      <c r="A12" s="1" t="s">
        <v>36</v>
      </c>
      <c r="B12" s="3">
        <f>$B$3/5</f>
        <v>70000</v>
      </c>
      <c r="C12" s="3">
        <f t="shared" ref="C12:D12" si="1">$B$3/5</f>
        <v>70000</v>
      </c>
      <c r="D12" s="3">
        <f t="shared" si="1"/>
        <v>70000</v>
      </c>
    </row>
    <row r="13" spans="1:4" x14ac:dyDescent="0.3">
      <c r="A13" s="1" t="s">
        <v>11</v>
      </c>
      <c r="B13" s="19">
        <f>B10-B11-B12</f>
        <v>-20000</v>
      </c>
      <c r="C13" s="19">
        <f>C10-C11-C12</f>
        <v>10000</v>
      </c>
      <c r="D13" s="19">
        <f>D10-D11-D12</f>
        <v>30000</v>
      </c>
    </row>
    <row r="14" spans="1:4" x14ac:dyDescent="0.3">
      <c r="A14" s="1" t="s">
        <v>37</v>
      </c>
      <c r="B14" s="19">
        <f>B13*0.25</f>
        <v>-5000</v>
      </c>
      <c r="C14" s="19"/>
      <c r="D14" s="19"/>
    </row>
    <row r="15" spans="1:4" x14ac:dyDescent="0.3">
      <c r="A15" s="1" t="s">
        <v>39</v>
      </c>
      <c r="B15" s="19"/>
      <c r="C15" s="19">
        <f>C13*0.25</f>
        <v>2500</v>
      </c>
      <c r="D15" s="19">
        <f>D13*0.25</f>
        <v>7500</v>
      </c>
    </row>
    <row r="16" spans="1:4" x14ac:dyDescent="0.3">
      <c r="A16" s="1" t="s">
        <v>14</v>
      </c>
      <c r="B16" s="19">
        <f>B13-B14</f>
        <v>-15000</v>
      </c>
      <c r="C16" s="19">
        <f>C13-C15</f>
        <v>7500</v>
      </c>
      <c r="D16" s="19">
        <f>D13-D15</f>
        <v>22500</v>
      </c>
    </row>
    <row r="17" spans="1:5" x14ac:dyDescent="0.3">
      <c r="A17" s="1" t="s">
        <v>40</v>
      </c>
      <c r="B17" s="19">
        <f>B16+B12</f>
        <v>55000</v>
      </c>
      <c r="C17" s="19">
        <f>C16+C12</f>
        <v>77500</v>
      </c>
      <c r="D17" s="19">
        <f>D16+D12</f>
        <v>92500</v>
      </c>
    </row>
    <row r="20" spans="1:5" x14ac:dyDescent="0.3">
      <c r="A20" s="6"/>
      <c r="B20" s="6" t="s">
        <v>15</v>
      </c>
      <c r="C20" s="6" t="s">
        <v>5</v>
      </c>
      <c r="D20" s="6" t="s">
        <v>16</v>
      </c>
      <c r="E20" s="6" t="s">
        <v>17</v>
      </c>
    </row>
    <row r="21" spans="1:5" x14ac:dyDescent="0.3">
      <c r="A21" s="6" t="s">
        <v>20</v>
      </c>
      <c r="B21" s="1"/>
      <c r="C21" s="8"/>
      <c r="D21" s="8"/>
      <c r="E21" s="8"/>
    </row>
    <row r="22" spans="1:5" x14ac:dyDescent="0.3">
      <c r="A22" s="1" t="s">
        <v>13</v>
      </c>
      <c r="B22" s="1"/>
      <c r="C22" s="19">
        <f>B17</f>
        <v>55000</v>
      </c>
      <c r="D22" s="19">
        <f>C17</f>
        <v>77500</v>
      </c>
      <c r="E22" s="19">
        <f>D17</f>
        <v>92500</v>
      </c>
    </row>
    <row r="23" spans="1:5" x14ac:dyDescent="0.3">
      <c r="A23" s="1" t="s">
        <v>58</v>
      </c>
      <c r="B23" s="1"/>
      <c r="C23" s="19"/>
      <c r="D23" s="19"/>
      <c r="E23" s="19">
        <f>200000-(200000-140000)*0.25</f>
        <v>185000</v>
      </c>
    </row>
    <row r="24" spans="1:5" x14ac:dyDescent="0.3">
      <c r="A24" s="1" t="s">
        <v>59</v>
      </c>
      <c r="B24" s="1">
        <f>B1</f>
        <v>30000</v>
      </c>
      <c r="C24" s="3"/>
      <c r="D24" s="3"/>
      <c r="E24" s="3"/>
    </row>
    <row r="25" spans="1:5" x14ac:dyDescent="0.3">
      <c r="A25" s="1" t="s">
        <v>4</v>
      </c>
      <c r="B25" s="1">
        <f>SUM(B22:B24)</f>
        <v>30000</v>
      </c>
      <c r="C25" s="3">
        <f t="shared" ref="C25:E25" si="2">SUM(C22:C24)</f>
        <v>55000</v>
      </c>
      <c r="D25" s="3">
        <f t="shared" si="2"/>
        <v>77500</v>
      </c>
      <c r="E25" s="3">
        <f t="shared" si="2"/>
        <v>277500</v>
      </c>
    </row>
    <row r="26" spans="1:5" x14ac:dyDescent="0.3">
      <c r="A26" s="1" t="s">
        <v>23</v>
      </c>
      <c r="B26" s="1"/>
      <c r="C26" s="19"/>
      <c r="D26" s="19"/>
      <c r="E26" s="19"/>
    </row>
    <row r="27" spans="1:5" x14ac:dyDescent="0.3">
      <c r="A27" s="1" t="s">
        <v>24</v>
      </c>
      <c r="B27" s="3">
        <f>B3</f>
        <v>350000</v>
      </c>
      <c r="C27" s="19"/>
      <c r="D27" s="19"/>
      <c r="E27" s="19"/>
    </row>
    <row r="28" spans="1:5" x14ac:dyDescent="0.3">
      <c r="A28" s="1" t="s">
        <v>60</v>
      </c>
      <c r="B28" s="19"/>
      <c r="C28" s="19"/>
      <c r="D28" s="19"/>
      <c r="E28" s="19">
        <f>B24</f>
        <v>30000</v>
      </c>
    </row>
    <row r="29" spans="1:5" x14ac:dyDescent="0.3">
      <c r="A29" s="1" t="s">
        <v>4</v>
      </c>
      <c r="B29" s="19">
        <f>SUM(B27:B28)</f>
        <v>350000</v>
      </c>
      <c r="C29" s="19">
        <f t="shared" ref="C29:E29" si="3">SUM(C27:C28)</f>
        <v>0</v>
      </c>
      <c r="D29" s="19">
        <f t="shared" si="3"/>
        <v>0</v>
      </c>
      <c r="E29" s="19">
        <f t="shared" si="3"/>
        <v>30000</v>
      </c>
    </row>
    <row r="30" spans="1:5" x14ac:dyDescent="0.3">
      <c r="A30" s="1" t="s">
        <v>26</v>
      </c>
      <c r="B30" s="19">
        <f>B25-B29</f>
        <v>-320000</v>
      </c>
      <c r="C30" s="19">
        <f t="shared" ref="C30:E30" si="4">C25-C29</f>
        <v>55000</v>
      </c>
      <c r="D30" s="19">
        <f t="shared" si="4"/>
        <v>77500</v>
      </c>
      <c r="E30" s="19">
        <f t="shared" si="4"/>
        <v>247500</v>
      </c>
    </row>
    <row r="31" spans="1:5" x14ac:dyDescent="0.3">
      <c r="A31" s="7" t="s">
        <v>27</v>
      </c>
      <c r="B31" s="20">
        <f>B30</f>
        <v>-320000</v>
      </c>
      <c r="C31" s="20">
        <f>C30*(1+$B$33)^-1</f>
        <v>51886.792452830181</v>
      </c>
      <c r="D31" s="20">
        <f>D30*(1+$B$33)^-2</f>
        <v>68974.72410110358</v>
      </c>
      <c r="E31" s="20">
        <f>E30*(1+$B$33)^-3</f>
        <v>207805.77255049464</v>
      </c>
    </row>
    <row r="33" spans="1:2" x14ac:dyDescent="0.3">
      <c r="A33" t="s">
        <v>61</v>
      </c>
      <c r="B33" s="48">
        <v>0.06</v>
      </c>
    </row>
    <row r="34" spans="1:2" x14ac:dyDescent="0.3">
      <c r="A34" t="s">
        <v>53</v>
      </c>
      <c r="B34" s="24">
        <f>SUM(B31:E31)</f>
        <v>8667.2891044284042</v>
      </c>
    </row>
    <row r="35" spans="1:2" x14ac:dyDescent="0.3">
      <c r="B35" s="37">
        <f>NPV(B33,C30:E30)+B30</f>
        <v>8667.2891044284333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4727C-0FF7-4D53-93E3-8250C5A02164}">
  <dimension ref="A1:S50"/>
  <sheetViews>
    <sheetView showGridLines="0" topLeftCell="A29" workbookViewId="0">
      <selection activeCell="D7" sqref="D7"/>
    </sheetView>
  </sheetViews>
  <sheetFormatPr baseColWidth="10" defaultRowHeight="14.4" x14ac:dyDescent="0.3"/>
  <cols>
    <col min="1" max="1" width="29" customWidth="1"/>
    <col min="2" max="2" width="19" customWidth="1"/>
    <col min="3" max="3" width="15.109375" bestFit="1" customWidth="1"/>
    <col min="4" max="4" width="19.44140625" customWidth="1"/>
    <col min="5" max="5" width="16" customWidth="1"/>
    <col min="6" max="6" width="15.33203125" customWidth="1"/>
    <col min="7" max="7" width="18" customWidth="1"/>
    <col min="8" max="8" width="5.33203125" customWidth="1"/>
    <col min="9" max="9" width="26" customWidth="1"/>
    <col min="10" max="10" width="13.5546875" customWidth="1"/>
    <col min="11" max="11" width="14" customWidth="1"/>
    <col min="12" max="13" width="12" bestFit="1" customWidth="1"/>
    <col min="14" max="14" width="13" customWidth="1"/>
    <col min="15" max="15" width="14.88671875" customWidth="1"/>
  </cols>
  <sheetData>
    <row r="1" spans="1:14" x14ac:dyDescent="0.3">
      <c r="H1" s="59"/>
    </row>
    <row r="2" spans="1:14" x14ac:dyDescent="0.3">
      <c r="H2" s="59"/>
    </row>
    <row r="3" spans="1:14" x14ac:dyDescent="0.3">
      <c r="A3" t="s">
        <v>30</v>
      </c>
      <c r="B3" s="4">
        <v>6240000</v>
      </c>
      <c r="C3">
        <v>8</v>
      </c>
      <c r="D3" s="96"/>
      <c r="E3" s="96"/>
      <c r="F3" s="96"/>
      <c r="H3" s="59"/>
      <c r="I3" s="25"/>
    </row>
    <row r="4" spans="1:14" x14ac:dyDescent="0.3">
      <c r="H4" s="59"/>
    </row>
    <row r="5" spans="1:14" x14ac:dyDescent="0.3">
      <c r="A5" s="1"/>
      <c r="B5" s="6" t="s">
        <v>5</v>
      </c>
      <c r="C5" s="6" t="s">
        <v>16</v>
      </c>
      <c r="D5" s="6" t="s">
        <v>17</v>
      </c>
      <c r="E5" s="6" t="s">
        <v>18</v>
      </c>
      <c r="F5" s="6" t="s">
        <v>19</v>
      </c>
      <c r="H5" s="59"/>
    </row>
    <row r="6" spans="1:14" x14ac:dyDescent="0.3">
      <c r="A6" s="1" t="s">
        <v>32</v>
      </c>
      <c r="B6" s="1">
        <v>3000</v>
      </c>
      <c r="C6" s="1">
        <v>8000</v>
      </c>
      <c r="D6" s="1">
        <v>9000</v>
      </c>
      <c r="E6" s="1">
        <v>6000</v>
      </c>
      <c r="F6" s="33">
        <v>4500</v>
      </c>
      <c r="H6" s="59"/>
    </row>
    <row r="7" spans="1:14" x14ac:dyDescent="0.3">
      <c r="A7" s="1" t="s">
        <v>33</v>
      </c>
      <c r="B7" s="2">
        <v>500</v>
      </c>
      <c r="C7" s="2">
        <v>500</v>
      </c>
      <c r="D7" s="2">
        <v>450</v>
      </c>
      <c r="E7" s="2">
        <v>450</v>
      </c>
      <c r="F7" s="2">
        <v>450</v>
      </c>
      <c r="H7" s="59"/>
    </row>
    <row r="8" spans="1:14" x14ac:dyDescent="0.3">
      <c r="A8" s="1" t="s">
        <v>34</v>
      </c>
      <c r="B8" s="2">
        <v>300</v>
      </c>
      <c r="C8" s="2">
        <v>300</v>
      </c>
      <c r="D8" s="2">
        <v>300</v>
      </c>
      <c r="E8" s="2">
        <v>300</v>
      </c>
      <c r="F8" s="2">
        <v>300</v>
      </c>
      <c r="H8" s="59"/>
    </row>
    <row r="9" spans="1:14" x14ac:dyDescent="0.3">
      <c r="H9" s="59"/>
    </row>
    <row r="10" spans="1:14" x14ac:dyDescent="0.3">
      <c r="H10" s="59"/>
    </row>
    <row r="11" spans="1:14" x14ac:dyDescent="0.3">
      <c r="A11" s="97" t="s">
        <v>65</v>
      </c>
      <c r="B11" s="97"/>
      <c r="C11" s="97"/>
      <c r="D11" s="97"/>
      <c r="E11" s="97"/>
      <c r="F11" s="97"/>
      <c r="H11" s="59"/>
      <c r="I11" s="97" t="s">
        <v>64</v>
      </c>
      <c r="J11" s="97"/>
      <c r="K11" s="97"/>
      <c r="L11" s="97"/>
      <c r="M11" s="97"/>
      <c r="N11" s="97"/>
    </row>
    <row r="12" spans="1:14" x14ac:dyDescent="0.3">
      <c r="A12" s="6"/>
      <c r="B12" s="6" t="s">
        <v>5</v>
      </c>
      <c r="C12" s="6" t="s">
        <v>16</v>
      </c>
      <c r="D12" s="6" t="s">
        <v>17</v>
      </c>
      <c r="E12" s="6" t="s">
        <v>18</v>
      </c>
      <c r="F12" s="6" t="s">
        <v>19</v>
      </c>
      <c r="H12" s="59"/>
      <c r="I12" s="6"/>
      <c r="J12" s="6" t="s">
        <v>5</v>
      </c>
      <c r="K12" s="6" t="s">
        <v>16</v>
      </c>
      <c r="L12" s="6" t="s">
        <v>17</v>
      </c>
      <c r="M12" s="6" t="s">
        <v>18</v>
      </c>
      <c r="N12" s="6" t="s">
        <v>19</v>
      </c>
    </row>
    <row r="13" spans="1:14" x14ac:dyDescent="0.3">
      <c r="A13" s="26" t="s">
        <v>7</v>
      </c>
      <c r="B13" s="27">
        <f>+B6*B7</f>
        <v>1500000</v>
      </c>
      <c r="C13" s="27">
        <f t="shared" ref="C13:F13" si="0">+C6*C7</f>
        <v>4000000</v>
      </c>
      <c r="D13" s="27">
        <f t="shared" si="0"/>
        <v>4050000</v>
      </c>
      <c r="E13" s="27">
        <f t="shared" si="0"/>
        <v>2700000</v>
      </c>
      <c r="F13" s="27">
        <f t="shared" si="0"/>
        <v>2025000</v>
      </c>
      <c r="H13" s="59"/>
      <c r="I13" s="26" t="s">
        <v>7</v>
      </c>
      <c r="J13" s="27">
        <f t="shared" ref="J13:N14" si="1">B13</f>
        <v>1500000</v>
      </c>
      <c r="K13" s="27">
        <f t="shared" si="1"/>
        <v>4000000</v>
      </c>
      <c r="L13" s="27">
        <f t="shared" si="1"/>
        <v>4050000</v>
      </c>
      <c r="M13" s="27">
        <f t="shared" si="1"/>
        <v>2700000</v>
      </c>
      <c r="N13" s="27">
        <f t="shared" si="1"/>
        <v>2025000</v>
      </c>
    </row>
    <row r="14" spans="1:14" x14ac:dyDescent="0.3">
      <c r="A14" s="1" t="s">
        <v>35</v>
      </c>
      <c r="B14" s="87">
        <f>B6*B8</f>
        <v>900000</v>
      </c>
      <c r="C14" s="87">
        <f>C6*C8</f>
        <v>2400000</v>
      </c>
      <c r="D14" s="87">
        <f>D6*D8</f>
        <v>2700000</v>
      </c>
      <c r="E14" s="87">
        <f>E6*E8</f>
        <v>1800000</v>
      </c>
      <c r="F14" s="87">
        <f>F6*F8</f>
        <v>1350000</v>
      </c>
      <c r="H14" s="59"/>
      <c r="I14" s="1" t="s">
        <v>35</v>
      </c>
      <c r="J14" s="87">
        <f t="shared" si="1"/>
        <v>900000</v>
      </c>
      <c r="K14" s="87">
        <f t="shared" si="1"/>
        <v>2400000</v>
      </c>
      <c r="L14" s="87">
        <f t="shared" si="1"/>
        <v>2700000</v>
      </c>
      <c r="M14" s="87">
        <f t="shared" si="1"/>
        <v>1800000</v>
      </c>
      <c r="N14" s="87">
        <f t="shared" si="1"/>
        <v>1350000</v>
      </c>
    </row>
    <row r="15" spans="1:14" x14ac:dyDescent="0.3">
      <c r="A15" s="1" t="s">
        <v>36</v>
      </c>
      <c r="B15" s="66">
        <f>(B3)/8</f>
        <v>780000</v>
      </c>
      <c r="C15" s="66">
        <f>B15</f>
        <v>780000</v>
      </c>
      <c r="D15" s="66">
        <f t="shared" ref="D15:F15" si="2">C15</f>
        <v>780000</v>
      </c>
      <c r="E15" s="66">
        <f t="shared" si="2"/>
        <v>780000</v>
      </c>
      <c r="F15" s="66">
        <f t="shared" si="2"/>
        <v>780000</v>
      </c>
      <c r="H15" s="59"/>
      <c r="I15" s="1" t="s">
        <v>36</v>
      </c>
      <c r="J15" s="66">
        <f>B15</f>
        <v>780000</v>
      </c>
      <c r="K15" s="66">
        <f>+J15</f>
        <v>780000</v>
      </c>
      <c r="L15" s="66">
        <f t="shared" ref="L15:N15" si="3">+K15</f>
        <v>780000</v>
      </c>
      <c r="M15" s="66">
        <f t="shared" si="3"/>
        <v>780000</v>
      </c>
      <c r="N15" s="66">
        <f t="shared" si="3"/>
        <v>780000</v>
      </c>
    </row>
    <row r="16" spans="1:14" x14ac:dyDescent="0.3">
      <c r="A16" s="1" t="s">
        <v>11</v>
      </c>
      <c r="B16" s="88">
        <f>B13-SUM(B14:B15)</f>
        <v>-180000</v>
      </c>
      <c r="C16" s="19">
        <f t="shared" ref="C16:E16" si="4">C13-SUM(C14:C15)</f>
        <v>820000</v>
      </c>
      <c r="D16" s="19">
        <f t="shared" si="4"/>
        <v>570000</v>
      </c>
      <c r="E16" s="19">
        <f t="shared" si="4"/>
        <v>120000</v>
      </c>
      <c r="F16" s="19">
        <f>F13-SUM(F14:F15)</f>
        <v>-105000</v>
      </c>
      <c r="H16" s="59"/>
      <c r="I16" s="1" t="s">
        <v>11</v>
      </c>
      <c r="J16" s="19">
        <f>J13-SUM(J14:J15)</f>
        <v>-180000</v>
      </c>
      <c r="K16" s="19">
        <f t="shared" ref="K16:N16" si="5">K13-SUM(K14:K15)</f>
        <v>820000</v>
      </c>
      <c r="L16" s="19">
        <f t="shared" si="5"/>
        <v>570000</v>
      </c>
      <c r="M16" s="19">
        <f t="shared" si="5"/>
        <v>120000</v>
      </c>
      <c r="N16" s="19">
        <f t="shared" si="5"/>
        <v>-105000</v>
      </c>
    </row>
    <row r="17" spans="1:14" x14ac:dyDescent="0.3">
      <c r="A17" s="1" t="s">
        <v>37</v>
      </c>
      <c r="B17" s="19">
        <f>-B16*0.25</f>
        <v>45000</v>
      </c>
      <c r="C17" s="19"/>
      <c r="D17" s="19"/>
      <c r="E17" s="1"/>
      <c r="F17" s="19">
        <f>-F16*0.25</f>
        <v>26250</v>
      </c>
      <c r="H17" s="59"/>
      <c r="I17" s="1" t="s">
        <v>38</v>
      </c>
      <c r="J17" s="30">
        <v>0</v>
      </c>
      <c r="K17" s="31">
        <f>K16+J16</f>
        <v>640000</v>
      </c>
      <c r="L17" s="31">
        <f>L16</f>
        <v>570000</v>
      </c>
      <c r="M17" s="31">
        <f t="shared" ref="M17:N17" si="6">M16</f>
        <v>120000</v>
      </c>
      <c r="N17" s="31">
        <f t="shared" si="6"/>
        <v>-105000</v>
      </c>
    </row>
    <row r="18" spans="1:14" x14ac:dyDescent="0.3">
      <c r="A18" s="1" t="s">
        <v>39</v>
      </c>
      <c r="B18" s="19"/>
      <c r="C18" s="19">
        <f>-C16*0.25</f>
        <v>-205000</v>
      </c>
      <c r="D18" s="19">
        <f t="shared" ref="D18:E18" si="7">-D16*0.25</f>
        <v>-142500</v>
      </c>
      <c r="E18" s="19">
        <f t="shared" si="7"/>
        <v>-30000</v>
      </c>
      <c r="F18" s="19"/>
      <c r="H18" s="59"/>
      <c r="I18" s="1" t="s">
        <v>39</v>
      </c>
      <c r="J18" s="31">
        <v>0</v>
      </c>
      <c r="K18" s="31">
        <f>-K17*0.25</f>
        <v>-160000</v>
      </c>
      <c r="L18" s="31">
        <f t="shared" ref="L18:M18" si="8">-L17*0.25</f>
        <v>-142500</v>
      </c>
      <c r="M18" s="31">
        <f t="shared" si="8"/>
        <v>-30000</v>
      </c>
      <c r="N18" s="31">
        <v>0</v>
      </c>
    </row>
    <row r="19" spans="1:14" x14ac:dyDescent="0.3">
      <c r="A19" s="1" t="s">
        <v>14</v>
      </c>
      <c r="B19" s="19">
        <f>B16+B17+B18</f>
        <v>-135000</v>
      </c>
      <c r="C19" s="19">
        <f>C16+C17+C18</f>
        <v>615000</v>
      </c>
      <c r="D19" s="19">
        <f t="shared" ref="D19:F19" si="9">D16+D17+D18</f>
        <v>427500</v>
      </c>
      <c r="E19" s="19">
        <f t="shared" si="9"/>
        <v>90000</v>
      </c>
      <c r="F19" s="19">
        <f t="shared" si="9"/>
        <v>-78750</v>
      </c>
      <c r="H19" s="59"/>
      <c r="I19" s="1" t="s">
        <v>14</v>
      </c>
      <c r="J19" s="31">
        <f>J16+J18</f>
        <v>-180000</v>
      </c>
      <c r="K19" s="31">
        <f t="shared" ref="K19:N19" si="10">K16+K18</f>
        <v>660000</v>
      </c>
      <c r="L19" s="31">
        <f t="shared" si="10"/>
        <v>427500</v>
      </c>
      <c r="M19" s="31">
        <f t="shared" si="10"/>
        <v>90000</v>
      </c>
      <c r="N19" s="31">
        <f t="shared" si="10"/>
        <v>-105000</v>
      </c>
    </row>
    <row r="20" spans="1:14" x14ac:dyDescent="0.3">
      <c r="A20" s="1" t="s">
        <v>40</v>
      </c>
      <c r="B20" s="19">
        <f>B16+B17+B15</f>
        <v>645000</v>
      </c>
      <c r="C20" s="19">
        <f>C19+C15</f>
        <v>1395000</v>
      </c>
      <c r="D20" s="19">
        <f t="shared" ref="D20" si="11">D19+D15</f>
        <v>1207500</v>
      </c>
      <c r="E20" s="19">
        <f>E19+E15</f>
        <v>870000</v>
      </c>
      <c r="F20" s="19">
        <f>F19+F17+F15</f>
        <v>727500</v>
      </c>
      <c r="H20" s="59"/>
      <c r="I20" s="1" t="s">
        <v>41</v>
      </c>
      <c r="J20" s="31">
        <f>J19</f>
        <v>-180000</v>
      </c>
      <c r="K20" s="30">
        <v>0</v>
      </c>
      <c r="L20" s="30"/>
      <c r="M20" s="30"/>
      <c r="N20" s="30"/>
    </row>
    <row r="21" spans="1:14" x14ac:dyDescent="0.3">
      <c r="H21" s="59"/>
      <c r="I21" s="1" t="s">
        <v>40</v>
      </c>
      <c r="J21" s="31">
        <f>J19+J15</f>
        <v>600000</v>
      </c>
      <c r="K21" s="31">
        <f>K19+K15</f>
        <v>1440000</v>
      </c>
      <c r="L21" s="31">
        <f t="shared" ref="L21:N21" si="12">L19+L15</f>
        <v>1207500</v>
      </c>
      <c r="M21" s="31">
        <f t="shared" si="12"/>
        <v>870000</v>
      </c>
      <c r="N21" s="31">
        <f t="shared" si="12"/>
        <v>675000</v>
      </c>
    </row>
    <row r="22" spans="1:14" x14ac:dyDescent="0.3">
      <c r="H22" s="59"/>
      <c r="J22" s="89"/>
      <c r="K22" s="89"/>
      <c r="L22" s="89"/>
      <c r="M22" s="89"/>
      <c r="N22" s="89"/>
    </row>
    <row r="23" spans="1:14" x14ac:dyDescent="0.3">
      <c r="H23" s="59"/>
      <c r="J23" s="89"/>
      <c r="K23" s="89"/>
      <c r="L23" s="89"/>
      <c r="M23" s="89"/>
      <c r="N23" s="89"/>
    </row>
    <row r="24" spans="1:14" x14ac:dyDescent="0.3">
      <c r="H24" s="59"/>
      <c r="J24" s="89"/>
      <c r="K24" s="89"/>
      <c r="L24" s="89"/>
      <c r="M24" s="89"/>
      <c r="N24" s="89"/>
    </row>
    <row r="25" spans="1:14" x14ac:dyDescent="0.3">
      <c r="H25" s="59"/>
      <c r="J25" s="89"/>
      <c r="K25" s="89"/>
      <c r="L25" s="89"/>
      <c r="M25" s="89"/>
      <c r="N25" s="89"/>
    </row>
    <row r="26" spans="1:14" x14ac:dyDescent="0.3">
      <c r="H26" s="59"/>
      <c r="J26" s="89"/>
      <c r="K26" s="89"/>
      <c r="L26" s="89"/>
      <c r="M26" s="89"/>
      <c r="N26" s="89"/>
    </row>
    <row r="27" spans="1:14" x14ac:dyDescent="0.3">
      <c r="H27" s="59"/>
      <c r="J27" s="89"/>
      <c r="K27" s="89"/>
      <c r="L27" s="89"/>
      <c r="M27" s="89"/>
      <c r="N27" s="89"/>
    </row>
    <row r="28" spans="1:14" x14ac:dyDescent="0.3">
      <c r="H28" s="59"/>
      <c r="J28" s="89"/>
      <c r="K28" s="89"/>
      <c r="L28" s="89"/>
      <c r="M28" s="89"/>
      <c r="N28" s="89"/>
    </row>
    <row r="29" spans="1:14" x14ac:dyDescent="0.3">
      <c r="H29" s="59"/>
      <c r="J29" s="89"/>
      <c r="K29" s="89"/>
      <c r="L29" s="89"/>
      <c r="M29" s="89"/>
      <c r="N29" s="89"/>
    </row>
    <row r="30" spans="1:14" x14ac:dyDescent="0.3">
      <c r="H30" s="59"/>
      <c r="J30" s="89"/>
      <c r="K30" s="89"/>
      <c r="L30" s="89"/>
      <c r="M30" s="89"/>
      <c r="N30" s="89"/>
    </row>
    <row r="31" spans="1:14" x14ac:dyDescent="0.3">
      <c r="H31" s="59"/>
      <c r="J31" s="89"/>
      <c r="K31" s="89"/>
      <c r="L31" s="89"/>
      <c r="M31" s="89"/>
      <c r="N31" s="89"/>
    </row>
    <row r="32" spans="1:14" x14ac:dyDescent="0.3">
      <c r="H32" s="59"/>
    </row>
    <row r="33" spans="1:19" x14ac:dyDescent="0.3">
      <c r="A33" s="6"/>
      <c r="B33" s="6" t="s">
        <v>15</v>
      </c>
      <c r="C33" s="6" t="s">
        <v>5</v>
      </c>
      <c r="D33" s="6" t="s">
        <v>16</v>
      </c>
      <c r="E33" s="6" t="s">
        <v>17</v>
      </c>
      <c r="F33" s="71" t="s">
        <v>18</v>
      </c>
      <c r="G33" s="6" t="s">
        <v>19</v>
      </c>
      <c r="H33" s="78"/>
      <c r="I33" s="76"/>
      <c r="J33" s="6" t="s">
        <v>15</v>
      </c>
      <c r="K33" s="6" t="s">
        <v>5</v>
      </c>
      <c r="L33" s="6" t="s">
        <v>16</v>
      </c>
      <c r="M33" s="6" t="s">
        <v>17</v>
      </c>
      <c r="N33" s="6" t="s">
        <v>18</v>
      </c>
      <c r="O33" s="6" t="s">
        <v>19</v>
      </c>
    </row>
    <row r="34" spans="1:19" x14ac:dyDescent="0.3">
      <c r="A34" s="6" t="s">
        <v>20</v>
      </c>
      <c r="B34" s="1"/>
      <c r="C34" s="8"/>
      <c r="D34" s="8"/>
      <c r="E34" s="8"/>
      <c r="F34" s="72"/>
      <c r="G34" s="1"/>
      <c r="H34" s="59"/>
      <c r="I34" s="6" t="s">
        <v>20</v>
      </c>
      <c r="J34" s="77"/>
      <c r="K34" s="8"/>
      <c r="L34" s="8"/>
      <c r="M34" s="8"/>
      <c r="N34" s="1"/>
      <c r="O34" s="1"/>
    </row>
    <row r="35" spans="1:19" x14ac:dyDescent="0.3">
      <c r="A35" s="1" t="s">
        <v>13</v>
      </c>
      <c r="B35" s="1"/>
      <c r="C35" s="19">
        <f>B20</f>
        <v>645000</v>
      </c>
      <c r="D35" s="19">
        <f>C20</f>
        <v>1395000</v>
      </c>
      <c r="E35" s="19">
        <f>D20</f>
        <v>1207500</v>
      </c>
      <c r="F35" s="73">
        <f>E20</f>
        <v>870000</v>
      </c>
      <c r="G35" s="19">
        <f>F20</f>
        <v>727500</v>
      </c>
      <c r="H35" s="79"/>
      <c r="I35" s="1" t="s">
        <v>13</v>
      </c>
      <c r="J35" s="81"/>
      <c r="K35" s="31">
        <f>+J21</f>
        <v>600000</v>
      </c>
      <c r="L35" s="31">
        <f>+K21</f>
        <v>1440000</v>
      </c>
      <c r="M35" s="31">
        <f>+L21</f>
        <v>1207500</v>
      </c>
      <c r="N35" s="90">
        <f>+M21</f>
        <v>870000</v>
      </c>
      <c r="O35" s="31">
        <f>+N21</f>
        <v>675000</v>
      </c>
    </row>
    <row r="36" spans="1:19" x14ac:dyDescent="0.3">
      <c r="A36" s="1" t="s">
        <v>58</v>
      </c>
      <c r="B36" s="1"/>
      <c r="C36" s="19"/>
      <c r="D36" s="19"/>
      <c r="E36" s="19"/>
      <c r="F36" s="72"/>
      <c r="G36" s="19">
        <v>2340000</v>
      </c>
      <c r="H36" s="79"/>
      <c r="I36" s="1" t="s">
        <v>62</v>
      </c>
      <c r="J36" s="81"/>
      <c r="K36" s="31"/>
      <c r="L36" s="31"/>
      <c r="M36" s="31"/>
      <c r="N36" s="91"/>
      <c r="O36" s="31">
        <f>G36</f>
        <v>2340000</v>
      </c>
    </row>
    <row r="37" spans="1:19" x14ac:dyDescent="0.3">
      <c r="A37" s="1" t="s">
        <v>22</v>
      </c>
      <c r="B37" s="1"/>
      <c r="C37" s="3"/>
      <c r="D37" s="3"/>
      <c r="E37" s="3"/>
      <c r="F37" s="72"/>
      <c r="G37" s="3">
        <v>150000</v>
      </c>
      <c r="H37" s="70"/>
      <c r="I37" s="1" t="s">
        <v>63</v>
      </c>
      <c r="J37" s="62"/>
      <c r="K37" s="62"/>
      <c r="L37" s="62"/>
      <c r="M37" s="62"/>
      <c r="N37" s="62"/>
      <c r="O37" s="31">
        <f>-M18</f>
        <v>30000</v>
      </c>
    </row>
    <row r="38" spans="1:19" x14ac:dyDescent="0.3">
      <c r="A38" s="63" t="s">
        <v>4</v>
      </c>
      <c r="B38" s="63">
        <f>SUM(B35:B37)</f>
        <v>0</v>
      </c>
      <c r="C38" s="64">
        <f>SUM(C35:C37)</f>
        <v>645000</v>
      </c>
      <c r="D38" s="64">
        <f t="shared" ref="D38:G38" si="13">SUM(D35:D37)</f>
        <v>1395000</v>
      </c>
      <c r="E38" s="64">
        <f t="shared" si="13"/>
        <v>1207500</v>
      </c>
      <c r="F38" s="74">
        <f t="shared" si="13"/>
        <v>870000</v>
      </c>
      <c r="G38" s="3">
        <f t="shared" si="13"/>
        <v>3217500</v>
      </c>
      <c r="H38" s="70"/>
      <c r="I38" s="1" t="s">
        <v>22</v>
      </c>
      <c r="J38" s="82"/>
      <c r="K38" s="65"/>
      <c r="L38" s="65"/>
      <c r="M38" s="65"/>
      <c r="N38" s="92"/>
      <c r="O38" s="66">
        <v>150000</v>
      </c>
    </row>
    <row r="39" spans="1:19" x14ac:dyDescent="0.3">
      <c r="A39" s="1" t="s">
        <v>23</v>
      </c>
      <c r="B39" s="1"/>
      <c r="C39" s="19"/>
      <c r="D39" s="19"/>
      <c r="E39" s="19"/>
      <c r="G39" s="1"/>
      <c r="H39" s="59"/>
      <c r="I39" s="1" t="s">
        <v>4</v>
      </c>
      <c r="J39" s="83">
        <f t="shared" ref="J39:O39" si="14">SUM(J35:J38)</f>
        <v>0</v>
      </c>
      <c r="K39" s="67">
        <f t="shared" si="14"/>
        <v>600000</v>
      </c>
      <c r="L39" s="67">
        <f t="shared" si="14"/>
        <v>1440000</v>
      </c>
      <c r="M39" s="67">
        <f t="shared" si="14"/>
        <v>1207500</v>
      </c>
      <c r="N39" s="67">
        <f t="shared" si="14"/>
        <v>870000</v>
      </c>
      <c r="O39" s="67">
        <f t="shared" si="14"/>
        <v>3195000</v>
      </c>
      <c r="S39" s="40"/>
    </row>
    <row r="40" spans="1:19" x14ac:dyDescent="0.3">
      <c r="A40" s="1" t="s">
        <v>24</v>
      </c>
      <c r="B40" s="3">
        <f>B3</f>
        <v>6240000</v>
      </c>
      <c r="C40" s="19"/>
      <c r="D40" s="19"/>
      <c r="E40" s="19"/>
      <c r="F40" s="73"/>
      <c r="G40" s="19"/>
      <c r="H40" s="79"/>
      <c r="I40" s="1" t="s">
        <v>23</v>
      </c>
      <c r="J40" s="82"/>
      <c r="K40" s="68"/>
      <c r="L40" s="68"/>
      <c r="M40" s="68"/>
      <c r="N40" s="62"/>
      <c r="O40" s="62"/>
    </row>
    <row r="41" spans="1:19" x14ac:dyDescent="0.3">
      <c r="A41" s="1" t="s">
        <v>25</v>
      </c>
      <c r="B41" s="19">
        <v>150000</v>
      </c>
      <c r="C41" s="19"/>
      <c r="D41" s="19"/>
      <c r="E41" s="19">
        <f>B37</f>
        <v>0</v>
      </c>
      <c r="F41" s="73">
        <f t="shared" ref="F41:G41" si="15">C37</f>
        <v>0</v>
      </c>
      <c r="G41" s="19">
        <f t="shared" si="15"/>
        <v>0</v>
      </c>
      <c r="H41" s="79"/>
      <c r="I41" s="1" t="s">
        <v>24</v>
      </c>
      <c r="J41" s="84">
        <f>B40</f>
        <v>6240000</v>
      </c>
      <c r="K41" s="31"/>
      <c r="L41" s="31"/>
      <c r="M41" s="31"/>
      <c r="N41" s="31"/>
      <c r="O41" s="31"/>
      <c r="S41" s="24"/>
    </row>
    <row r="42" spans="1:19" x14ac:dyDescent="0.3">
      <c r="A42" s="1" t="s">
        <v>4</v>
      </c>
      <c r="B42" s="19">
        <f>SUM(B40:B41)</f>
        <v>6390000</v>
      </c>
      <c r="C42" s="19">
        <f t="shared" ref="C42:G42" si="16">SUM(C40:C41)</f>
        <v>0</v>
      </c>
      <c r="D42" s="19">
        <f t="shared" si="16"/>
        <v>0</v>
      </c>
      <c r="E42" s="19">
        <f t="shared" si="16"/>
        <v>0</v>
      </c>
      <c r="F42" s="73">
        <f t="shared" si="16"/>
        <v>0</v>
      </c>
      <c r="G42" s="19">
        <f t="shared" si="16"/>
        <v>0</v>
      </c>
      <c r="H42" s="79"/>
      <c r="I42" s="1" t="s">
        <v>25</v>
      </c>
      <c r="J42" s="85">
        <v>150000</v>
      </c>
      <c r="K42" s="31"/>
      <c r="L42" s="31"/>
      <c r="M42" s="31">
        <f>J38</f>
        <v>0</v>
      </c>
      <c r="N42" s="31">
        <f t="shared" ref="N42:O42" si="17">K38</f>
        <v>0</v>
      </c>
      <c r="O42" s="31">
        <f t="shared" si="17"/>
        <v>0</v>
      </c>
      <c r="S42" s="24"/>
    </row>
    <row r="43" spans="1:19" x14ac:dyDescent="0.3">
      <c r="A43" s="1" t="s">
        <v>26</v>
      </c>
      <c r="B43" s="19">
        <f>B38-B42</f>
        <v>-6390000</v>
      </c>
      <c r="C43" s="19">
        <f t="shared" ref="C43:G43" si="18">C38-C42</f>
        <v>645000</v>
      </c>
      <c r="D43" s="19">
        <f t="shared" si="18"/>
        <v>1395000</v>
      </c>
      <c r="E43" s="19">
        <f t="shared" si="18"/>
        <v>1207500</v>
      </c>
      <c r="F43" s="73">
        <f t="shared" si="18"/>
        <v>870000</v>
      </c>
      <c r="G43" s="19">
        <f t="shared" si="18"/>
        <v>3217500</v>
      </c>
      <c r="H43" s="79"/>
      <c r="I43" s="1" t="s">
        <v>4</v>
      </c>
      <c r="J43" s="85">
        <f>SUM(J41:J42)</f>
        <v>6390000</v>
      </c>
      <c r="K43" s="31">
        <f t="shared" ref="K43:O43" si="19">SUM(K41:K42)</f>
        <v>0</v>
      </c>
      <c r="L43" s="31">
        <f t="shared" si="19"/>
        <v>0</v>
      </c>
      <c r="M43" s="31">
        <f t="shared" si="19"/>
        <v>0</v>
      </c>
      <c r="N43" s="31">
        <f t="shared" si="19"/>
        <v>0</v>
      </c>
      <c r="O43" s="31">
        <f t="shared" si="19"/>
        <v>0</v>
      </c>
      <c r="S43" s="43"/>
    </row>
    <row r="44" spans="1:19" x14ac:dyDescent="0.3">
      <c r="A44" s="7" t="s">
        <v>27</v>
      </c>
      <c r="B44" s="20">
        <f>B43</f>
        <v>-6390000</v>
      </c>
      <c r="C44" s="20">
        <f>C43*(1+$B$46)^-1</f>
        <v>623188.40579710144</v>
      </c>
      <c r="D44" s="20">
        <f>D43*(1+$B$46)^-2</f>
        <v>1302247.4270111322</v>
      </c>
      <c r="E44" s="20">
        <f>E43*(1+$B$46)^-3</f>
        <v>1089095.817094137</v>
      </c>
      <c r="F44" s="75">
        <f>F43*(1+$B$46)^-4</f>
        <v>758154.73809775792</v>
      </c>
      <c r="G44" s="20">
        <f>G43*(1+$B$46)^-5</f>
        <v>2709048.6643673014</v>
      </c>
      <c r="H44" s="80"/>
      <c r="I44" s="1" t="s">
        <v>26</v>
      </c>
      <c r="J44" s="85">
        <f>J39-J43</f>
        <v>-6390000</v>
      </c>
      <c r="K44" s="31">
        <f t="shared" ref="K44:O44" si="20">K39-K43</f>
        <v>600000</v>
      </c>
      <c r="L44" s="31">
        <f t="shared" si="20"/>
        <v>1440000</v>
      </c>
      <c r="M44" s="31">
        <f t="shared" si="20"/>
        <v>1207500</v>
      </c>
      <c r="N44" s="31">
        <f t="shared" si="20"/>
        <v>870000</v>
      </c>
      <c r="O44" s="31">
        <f t="shared" si="20"/>
        <v>3195000</v>
      </c>
      <c r="S44" s="43"/>
    </row>
    <row r="45" spans="1:19" x14ac:dyDescent="0.3">
      <c r="H45" s="59"/>
      <c r="I45" s="7" t="s">
        <v>27</v>
      </c>
      <c r="J45" s="86">
        <f>J44</f>
        <v>-6390000</v>
      </c>
      <c r="K45" s="69">
        <f>K44*(1+$B$46)^-1</f>
        <v>579710.14492753625</v>
      </c>
      <c r="L45" s="69">
        <f>L44*(1+$B$46)^-2</f>
        <v>1344255.4085276204</v>
      </c>
      <c r="M45" s="69">
        <f>M44*(1+$B$46)^-3</f>
        <v>1089095.817094137</v>
      </c>
      <c r="N45" s="69">
        <f>N44*(1+$B$46)^-4</f>
        <v>758154.73809775792</v>
      </c>
      <c r="O45" s="69">
        <f>O44*(1+$B$46)^-5</f>
        <v>2690104.268112985</v>
      </c>
    </row>
    <row r="46" spans="1:19" x14ac:dyDescent="0.3">
      <c r="A46" t="s">
        <v>61</v>
      </c>
      <c r="B46" s="50">
        <v>3.5000000000000003E-2</v>
      </c>
      <c r="H46" s="59"/>
      <c r="I46" t="s">
        <v>61</v>
      </c>
      <c r="J46" s="50">
        <f>B46</f>
        <v>3.5000000000000003E-2</v>
      </c>
      <c r="S46" s="24"/>
    </row>
    <row r="47" spans="1:19" x14ac:dyDescent="0.3">
      <c r="A47" t="s">
        <v>53</v>
      </c>
      <c r="B47" s="37">
        <f>NPV(B46,C43:G43)+B43</f>
        <v>91735.05236743018</v>
      </c>
      <c r="H47" s="59"/>
      <c r="I47" t="s">
        <v>53</v>
      </c>
      <c r="J47" s="37">
        <f>NPV(J46,K44:O44)+J44</f>
        <v>71320.376760035753</v>
      </c>
      <c r="S47" s="24"/>
    </row>
    <row r="48" spans="1:19" x14ac:dyDescent="0.3">
      <c r="H48" s="59"/>
      <c r="S48" s="24"/>
    </row>
    <row r="49" spans="8:19" x14ac:dyDescent="0.3">
      <c r="H49" s="59"/>
      <c r="S49" s="24"/>
    </row>
    <row r="50" spans="8:19" x14ac:dyDescent="0.3">
      <c r="S50" s="32"/>
    </row>
  </sheetData>
  <mergeCells count="3">
    <mergeCell ref="D3:F3"/>
    <mergeCell ref="A11:F11"/>
    <mergeCell ref="I11:N1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9A6B9-91C6-4E30-B5A4-9EE22DDC7D9D}">
  <dimension ref="A1:K36"/>
  <sheetViews>
    <sheetView showGridLines="0" workbookViewId="0">
      <selection activeCell="E34" sqref="E34"/>
    </sheetView>
  </sheetViews>
  <sheetFormatPr baseColWidth="10" defaultRowHeight="14.4" x14ac:dyDescent="0.3"/>
  <cols>
    <col min="1" max="1" width="29" customWidth="1"/>
    <col min="2" max="2" width="13.5546875" bestFit="1" customWidth="1"/>
    <col min="3" max="3" width="19" customWidth="1"/>
    <col min="4" max="4" width="19.44140625" customWidth="1"/>
    <col min="5" max="5" width="12" customWidth="1"/>
    <col min="6" max="6" width="16.109375" customWidth="1"/>
    <col min="7" max="7" width="13.88671875" bestFit="1" customWidth="1"/>
    <col min="8" max="8" width="8.44140625" customWidth="1"/>
    <col min="9" max="11" width="13.88671875" customWidth="1"/>
  </cols>
  <sheetData>
    <row r="1" spans="1:7" x14ac:dyDescent="0.3">
      <c r="A1" t="s">
        <v>30</v>
      </c>
      <c r="B1" s="5">
        <v>560000</v>
      </c>
      <c r="C1">
        <v>7</v>
      </c>
      <c r="D1" t="s">
        <v>66</v>
      </c>
      <c r="F1" s="5">
        <v>200000</v>
      </c>
    </row>
    <row r="2" spans="1:7" x14ac:dyDescent="0.3">
      <c r="A2" t="s">
        <v>31</v>
      </c>
      <c r="B2">
        <v>0</v>
      </c>
    </row>
    <row r="4" spans="1:7" x14ac:dyDescent="0.3">
      <c r="A4" s="1"/>
      <c r="B4" s="6" t="s">
        <v>5</v>
      </c>
      <c r="C4" s="6" t="s">
        <v>16</v>
      </c>
      <c r="D4" s="6" t="s">
        <v>17</v>
      </c>
      <c r="E4" s="6" t="s">
        <v>18</v>
      </c>
      <c r="F4" s="6" t="s">
        <v>19</v>
      </c>
    </row>
    <row r="5" spans="1:7" x14ac:dyDescent="0.3">
      <c r="A5" s="1" t="s">
        <v>32</v>
      </c>
      <c r="B5" s="1">
        <v>6000</v>
      </c>
      <c r="C5" s="1">
        <v>8500</v>
      </c>
      <c r="D5" s="1">
        <v>9000</v>
      </c>
      <c r="E5" s="1">
        <v>8200</v>
      </c>
      <c r="F5" s="1">
        <v>8000</v>
      </c>
    </row>
    <row r="6" spans="1:7" x14ac:dyDescent="0.3">
      <c r="A6" s="1" t="s">
        <v>33</v>
      </c>
      <c r="B6" s="2">
        <v>150</v>
      </c>
      <c r="C6" s="2">
        <v>150</v>
      </c>
      <c r="D6" s="2">
        <v>140</v>
      </c>
      <c r="E6" s="2">
        <v>135</v>
      </c>
      <c r="F6" s="2">
        <v>135</v>
      </c>
    </row>
    <row r="7" spans="1:7" x14ac:dyDescent="0.3">
      <c r="A7" s="1" t="s">
        <v>34</v>
      </c>
      <c r="B7" s="2">
        <v>125</v>
      </c>
      <c r="C7" s="2">
        <v>125</v>
      </c>
      <c r="D7" s="2">
        <v>125</v>
      </c>
      <c r="E7" s="2">
        <v>125</v>
      </c>
      <c r="F7" s="2">
        <v>125</v>
      </c>
    </row>
    <row r="11" spans="1:7" x14ac:dyDescent="0.3">
      <c r="A11" s="6"/>
      <c r="B11" s="6" t="s">
        <v>5</v>
      </c>
      <c r="C11" s="6" t="s">
        <v>16</v>
      </c>
      <c r="D11" s="6" t="s">
        <v>17</v>
      </c>
      <c r="E11" s="6" t="s">
        <v>18</v>
      </c>
      <c r="F11" s="6" t="s">
        <v>19</v>
      </c>
    </row>
    <row r="12" spans="1:7" x14ac:dyDescent="0.3">
      <c r="A12" s="26" t="s">
        <v>7</v>
      </c>
      <c r="B12" s="27">
        <f>+B5*B6</f>
        <v>900000</v>
      </c>
      <c r="C12" s="27">
        <f t="shared" ref="C12:F12" si="0">+C5*C6</f>
        <v>1275000</v>
      </c>
      <c r="D12" s="27">
        <f t="shared" si="0"/>
        <v>1260000</v>
      </c>
      <c r="E12" s="27">
        <f t="shared" si="0"/>
        <v>1107000</v>
      </c>
      <c r="F12" s="27">
        <f t="shared" si="0"/>
        <v>1080000</v>
      </c>
      <c r="G12" s="37">
        <f>SUM(B12:F12)/5*20%</f>
        <v>224880</v>
      </c>
    </row>
    <row r="13" spans="1:7" x14ac:dyDescent="0.3">
      <c r="A13" s="1" t="s">
        <v>35</v>
      </c>
      <c r="B13" s="28">
        <f>-B5*B7</f>
        <v>-750000</v>
      </c>
      <c r="C13" s="28">
        <f t="shared" ref="C13:F13" si="1">-C5*C7</f>
        <v>-1062500</v>
      </c>
      <c r="D13" s="28">
        <f t="shared" si="1"/>
        <v>-1125000</v>
      </c>
      <c r="E13" s="28">
        <f t="shared" si="1"/>
        <v>-1025000</v>
      </c>
      <c r="F13" s="28">
        <f t="shared" si="1"/>
        <v>-1000000</v>
      </c>
    </row>
    <row r="14" spans="1:7" x14ac:dyDescent="0.3">
      <c r="A14" s="1" t="s">
        <v>36</v>
      </c>
      <c r="B14" s="29">
        <f>-(B1-B2)/7</f>
        <v>-80000</v>
      </c>
      <c r="C14" s="29">
        <f>B14</f>
        <v>-80000</v>
      </c>
      <c r="D14" s="29">
        <f t="shared" ref="D14:F14" si="2">C14</f>
        <v>-80000</v>
      </c>
      <c r="E14" s="29">
        <f t="shared" si="2"/>
        <v>-80000</v>
      </c>
      <c r="F14" s="29">
        <f t="shared" si="2"/>
        <v>-80000</v>
      </c>
    </row>
    <row r="15" spans="1:7" x14ac:dyDescent="0.3">
      <c r="A15" s="1" t="s">
        <v>11</v>
      </c>
      <c r="B15" s="19">
        <f>B12+SUM(B13:B14)</f>
        <v>70000</v>
      </c>
      <c r="C15" s="19">
        <f t="shared" ref="C15:F15" si="3">C12+SUM(C13:C14)</f>
        <v>132500</v>
      </c>
      <c r="D15" s="19">
        <f t="shared" si="3"/>
        <v>55000</v>
      </c>
      <c r="E15" s="19">
        <f t="shared" si="3"/>
        <v>2000</v>
      </c>
      <c r="F15" s="19">
        <f t="shared" si="3"/>
        <v>0</v>
      </c>
    </row>
    <row r="16" spans="1:7" x14ac:dyDescent="0.3">
      <c r="A16" s="1" t="s">
        <v>39</v>
      </c>
      <c r="B16" s="19">
        <f>B15*0.25</f>
        <v>17500</v>
      </c>
      <c r="C16" s="19">
        <f t="shared" ref="C16:F16" si="4">C15*0.25</f>
        <v>33125</v>
      </c>
      <c r="D16" s="19">
        <f t="shared" si="4"/>
        <v>13750</v>
      </c>
      <c r="E16" s="19">
        <f t="shared" si="4"/>
        <v>500</v>
      </c>
      <c r="F16" s="19">
        <f t="shared" si="4"/>
        <v>0</v>
      </c>
    </row>
    <row r="17" spans="1:11" x14ac:dyDescent="0.3">
      <c r="A17" s="1" t="s">
        <v>14</v>
      </c>
      <c r="B17" s="19">
        <f>B15-B16</f>
        <v>52500</v>
      </c>
      <c r="C17" s="19">
        <f t="shared" ref="C17:F17" si="5">C15-C16</f>
        <v>99375</v>
      </c>
      <c r="D17" s="19">
        <f t="shared" si="5"/>
        <v>41250</v>
      </c>
      <c r="E17" s="19">
        <f t="shared" si="5"/>
        <v>1500</v>
      </c>
      <c r="F17" s="19">
        <f t="shared" si="5"/>
        <v>0</v>
      </c>
    </row>
    <row r="18" spans="1:11" x14ac:dyDescent="0.3">
      <c r="A18" s="1" t="s">
        <v>40</v>
      </c>
      <c r="B18" s="19">
        <f>B17-B14</f>
        <v>132500</v>
      </c>
      <c r="C18" s="19">
        <f>C17-C14</f>
        <v>179375</v>
      </c>
      <c r="D18" s="19">
        <f>D17-D14</f>
        <v>121250</v>
      </c>
      <c r="E18" s="19">
        <f>E17-E14</f>
        <v>81500</v>
      </c>
      <c r="F18" s="19">
        <f>F17-F14</f>
        <v>80000</v>
      </c>
    </row>
    <row r="21" spans="1:11" x14ac:dyDescent="0.3">
      <c r="A21" s="6"/>
      <c r="B21" s="6" t="s">
        <v>15</v>
      </c>
      <c r="C21" s="6" t="s">
        <v>5</v>
      </c>
      <c r="D21" s="6" t="s">
        <v>16</v>
      </c>
      <c r="E21" s="6" t="s">
        <v>17</v>
      </c>
      <c r="F21" s="6" t="s">
        <v>18</v>
      </c>
      <c r="G21" s="6" t="s">
        <v>19</v>
      </c>
      <c r="H21" s="40"/>
      <c r="I21" s="40"/>
      <c r="J21" s="40"/>
      <c r="K21" s="40"/>
    </row>
    <row r="22" spans="1:11" x14ac:dyDescent="0.3">
      <c r="A22" s="6" t="s">
        <v>20</v>
      </c>
      <c r="B22" s="1"/>
      <c r="C22" s="8"/>
      <c r="D22" s="8"/>
      <c r="E22" s="8"/>
      <c r="F22" s="1"/>
      <c r="G22" s="1"/>
      <c r="I22" s="25">
        <f>B1</f>
        <v>560000</v>
      </c>
    </row>
    <row r="23" spans="1:11" x14ac:dyDescent="0.3">
      <c r="A23" s="1" t="s">
        <v>13</v>
      </c>
      <c r="B23" s="1"/>
      <c r="C23" s="19">
        <f>B18</f>
        <v>132500</v>
      </c>
      <c r="D23" s="19">
        <f>C18</f>
        <v>179375</v>
      </c>
      <c r="E23" s="19">
        <f>D18</f>
        <v>121250</v>
      </c>
      <c r="F23" s="19">
        <f>E18</f>
        <v>81500</v>
      </c>
      <c r="G23" s="19">
        <f>F18</f>
        <v>80000</v>
      </c>
      <c r="H23" s="51"/>
      <c r="I23" s="24">
        <f>SUM(B14:F14)</f>
        <v>-400000</v>
      </c>
      <c r="J23" s="24"/>
      <c r="K23" s="24"/>
    </row>
    <row r="24" spans="1:11" x14ac:dyDescent="0.3">
      <c r="A24" s="1" t="s">
        <v>58</v>
      </c>
      <c r="B24" s="1"/>
      <c r="C24" s="19"/>
      <c r="D24" s="19"/>
      <c r="E24" s="19"/>
      <c r="F24" s="1"/>
      <c r="G24" s="19">
        <f>F1-(0.25*(F1-I24))</f>
        <v>190000</v>
      </c>
      <c r="H24" s="51"/>
      <c r="I24" s="24">
        <f>I22+I23</f>
        <v>160000</v>
      </c>
      <c r="J24" s="24"/>
      <c r="K24" s="24"/>
    </row>
    <row r="25" spans="1:11" x14ac:dyDescent="0.3">
      <c r="A25" s="63" t="s">
        <v>4</v>
      </c>
      <c r="B25" s="63">
        <f t="shared" ref="B25:G25" si="6">SUM(B23:B24)</f>
        <v>0</v>
      </c>
      <c r="C25" s="64">
        <f t="shared" si="6"/>
        <v>132500</v>
      </c>
      <c r="D25" s="64">
        <f t="shared" si="6"/>
        <v>179375</v>
      </c>
      <c r="E25" s="64">
        <f t="shared" si="6"/>
        <v>121250</v>
      </c>
      <c r="F25" s="64">
        <f t="shared" si="6"/>
        <v>81500</v>
      </c>
      <c r="G25" s="64">
        <f t="shared" si="6"/>
        <v>270000</v>
      </c>
      <c r="H25" s="43"/>
      <c r="I25" s="43"/>
      <c r="J25" s="43"/>
      <c r="K25" s="43"/>
    </row>
    <row r="26" spans="1:11" x14ac:dyDescent="0.3">
      <c r="A26" s="1" t="s">
        <v>23</v>
      </c>
      <c r="B26" s="1"/>
      <c r="C26" s="19"/>
      <c r="D26" s="19"/>
      <c r="E26" s="19"/>
    </row>
    <row r="27" spans="1:11" x14ac:dyDescent="0.3">
      <c r="A27" s="1" t="s">
        <v>24</v>
      </c>
      <c r="B27" s="3">
        <f>B1</f>
        <v>560000</v>
      </c>
      <c r="C27" s="19"/>
      <c r="D27" s="19"/>
      <c r="E27" s="19"/>
      <c r="F27" s="19"/>
      <c r="G27" s="19"/>
      <c r="H27" s="24"/>
      <c r="I27" s="24"/>
      <c r="J27" s="24"/>
      <c r="K27" s="24"/>
    </row>
    <row r="28" spans="1:11" x14ac:dyDescent="0.3">
      <c r="A28" s="1" t="s">
        <v>4</v>
      </c>
      <c r="B28" s="19">
        <f t="shared" ref="B28:G28" si="7">SUM(B27:B27)</f>
        <v>560000</v>
      </c>
      <c r="C28" s="19">
        <f t="shared" si="7"/>
        <v>0</v>
      </c>
      <c r="D28" s="19">
        <f t="shared" si="7"/>
        <v>0</v>
      </c>
      <c r="E28" s="19">
        <f t="shared" si="7"/>
        <v>0</v>
      </c>
      <c r="F28" s="19">
        <f t="shared" si="7"/>
        <v>0</v>
      </c>
      <c r="G28" s="19">
        <f t="shared" si="7"/>
        <v>0</v>
      </c>
      <c r="H28" s="24"/>
      <c r="I28" s="24"/>
      <c r="J28" s="24"/>
      <c r="K28" s="24"/>
    </row>
    <row r="29" spans="1:11" x14ac:dyDescent="0.3">
      <c r="A29" s="1" t="s">
        <v>26</v>
      </c>
      <c r="B29" s="19">
        <f t="shared" ref="B29:G29" si="8">B25-B28</f>
        <v>-560000</v>
      </c>
      <c r="C29" s="19">
        <f t="shared" si="8"/>
        <v>132500</v>
      </c>
      <c r="D29" s="19">
        <f t="shared" si="8"/>
        <v>179375</v>
      </c>
      <c r="E29" s="19">
        <f t="shared" si="8"/>
        <v>121250</v>
      </c>
      <c r="F29" s="19">
        <f t="shared" si="8"/>
        <v>81500</v>
      </c>
      <c r="G29" s="19">
        <f t="shared" si="8"/>
        <v>270000</v>
      </c>
      <c r="H29" s="51"/>
      <c r="I29" s="24"/>
      <c r="J29" s="24"/>
      <c r="K29" s="24"/>
    </row>
    <row r="30" spans="1:11" x14ac:dyDescent="0.3">
      <c r="A30" s="7" t="s">
        <v>27</v>
      </c>
      <c r="B30" s="20">
        <f>B29</f>
        <v>-560000</v>
      </c>
      <c r="C30" s="20">
        <f>C29*(1+$B$32)^-1</f>
        <v>126190.47619047618</v>
      </c>
      <c r="D30" s="20">
        <f>D29*(1+$B$32)^-2</f>
        <v>162698.41269841269</v>
      </c>
      <c r="E30" s="20">
        <f>E29*(1+$B$32)^-3</f>
        <v>104740.30882194146</v>
      </c>
      <c r="F30" s="20">
        <f>F29*(1+$B$32)^-4</f>
        <v>67050.251695538376</v>
      </c>
      <c r="G30" s="20">
        <f>G29*(1+$B$32)^-5</f>
        <v>211552.06494648391</v>
      </c>
      <c r="H30" s="93"/>
      <c r="I30" s="32"/>
      <c r="J30" s="32"/>
      <c r="K30" s="32"/>
    </row>
    <row r="32" spans="1:11" x14ac:dyDescent="0.3">
      <c r="A32" t="s">
        <v>61</v>
      </c>
      <c r="B32" s="50">
        <v>0.05</v>
      </c>
    </row>
    <row r="33" spans="1:2" x14ac:dyDescent="0.3">
      <c r="A33" t="s">
        <v>53</v>
      </c>
      <c r="B33" s="24">
        <f>SUM(B30:G30)</f>
        <v>112231.51435285262</v>
      </c>
    </row>
    <row r="34" spans="1:2" x14ac:dyDescent="0.3">
      <c r="B34" s="37">
        <f>NPV(B32,C29:G29)+B29</f>
        <v>112231.5143528526</v>
      </c>
    </row>
    <row r="36" spans="1:2" x14ac:dyDescent="0.3">
      <c r="A36" t="s">
        <v>67</v>
      </c>
      <c r="B36" s="50">
        <f>IRR(B29:G29)</f>
        <v>0.1149913081888112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236C23-C20C-4D80-B79D-0FCFE8F174E0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1b6f2b70-d5a1-4544-a145-5b4293f1365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8BAE5C4-B051-4B66-9327-79D08F604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3065E8-63A6-464A-8CFB-FCD53E4DD1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Exercice 1 </vt:lpstr>
      <vt:lpstr>Exercice 2</vt:lpstr>
      <vt:lpstr>Exercice 3</vt:lpstr>
      <vt:lpstr>Exercice 4</vt:lpstr>
      <vt:lpstr>Exercice 5</vt:lpstr>
      <vt:lpstr>Exercice synthèse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2022-07-28T13:38:34Z</dcterms:created>
  <dcterms:modified xsi:type="dcterms:W3CDTF">2023-04-11T08:40:36Z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0x01010021529F2146C75048A695AB3F03D98EF9</vt:lpwstr>
  </property>
  <property fmtid="{D5CDD505-2E9C-101B-9397-08002B2CF9AE}" pid="3" name="WorkbookGuid">
    <vt:lpwstr>d67d8e73-6cdc-41da-a484-43295099fa0e</vt:lpwstr>
  </property>
</Properties>
</file>