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IUT GEA\BUT\Cours BUT2\CG2P\R3 CG2P12\Chapitre 3 Le coût cible\"/>
    </mc:Choice>
  </mc:AlternateContent>
  <xr:revisionPtr revIDLastSave="1" documentId="13_ncr:1_{283D4B50-BB12-48B6-B9C4-8670CC9F36AC}" xr6:coauthVersionLast="36" xr6:coauthVersionMax="36" xr10:uidLastSave="{3CA4CA07-B33D-4A7D-9955-4BA82D322D3C}"/>
  <bookViews>
    <workbookView xWindow="0" yWindow="0" windowWidth="19365" windowHeight="9390" xr2:uid="{00000000-000D-0000-FFFF-FFFF00000000}"/>
  </bookViews>
  <sheets>
    <sheet name="Exo 1" sheetId="2" r:id="rId1"/>
    <sheet name="Feuil1" sheetId="6" r:id="rId2"/>
    <sheet name="Exo 2" sheetId="4" r:id="rId3"/>
    <sheet name="Exo 3" sheetId="3" r:id="rId4"/>
    <sheet name="Exo Complémentaire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B31" i="2"/>
  <c r="B32" i="2"/>
  <c r="B2" i="2"/>
  <c r="B7" i="2" s="1"/>
  <c r="B67" i="5" l="1"/>
  <c r="B65" i="5"/>
  <c r="B64" i="5"/>
  <c r="B63" i="5"/>
  <c r="L54" i="5"/>
  <c r="L53" i="5"/>
  <c r="D60" i="5" l="1"/>
  <c r="E60" i="5"/>
  <c r="F60" i="5"/>
  <c r="G60" i="5"/>
  <c r="H60" i="5"/>
  <c r="I60" i="5"/>
  <c r="C60" i="5"/>
  <c r="C21" i="4"/>
  <c r="B21" i="4"/>
  <c r="D12" i="4"/>
  <c r="C12" i="4"/>
  <c r="B12" i="4"/>
  <c r="E2" i="2" l="1"/>
  <c r="E7" i="2" s="1"/>
  <c r="D2" i="2"/>
  <c r="D7" i="2" s="1"/>
  <c r="C2" i="2"/>
  <c r="C7" i="2" s="1"/>
  <c r="F7" i="2" s="1"/>
  <c r="P12" i="3" l="1"/>
  <c r="S9" i="3" l="1"/>
  <c r="S10" i="3"/>
  <c r="S11" i="3"/>
  <c r="R10" i="3"/>
  <c r="R11" i="3"/>
  <c r="R12" i="3"/>
  <c r="R9" i="3"/>
  <c r="S7" i="3"/>
  <c r="S8" i="3"/>
  <c r="R8" i="3"/>
  <c r="R7" i="3"/>
  <c r="P8" i="3"/>
  <c r="P9" i="3"/>
  <c r="P10" i="3"/>
  <c r="P11" i="3"/>
  <c r="P7" i="3"/>
  <c r="R6" i="3"/>
  <c r="P6" i="3"/>
  <c r="O6" i="3"/>
  <c r="C31" i="5" l="1"/>
  <c r="C30" i="5"/>
  <c r="J18" i="5"/>
  <c r="J17" i="5"/>
  <c r="I6" i="3" l="1"/>
  <c r="E12" i="3"/>
  <c r="M2" i="3"/>
  <c r="J27" i="5" l="1"/>
  <c r="J28" i="5"/>
  <c r="D30" i="5"/>
  <c r="D31" i="5" s="1"/>
  <c r="E30" i="5"/>
  <c r="E31" i="5" s="1"/>
  <c r="F30" i="5"/>
  <c r="F31" i="5" s="1"/>
  <c r="G30" i="5"/>
  <c r="G31" i="5" s="1"/>
  <c r="H30" i="5"/>
  <c r="H31" i="5" s="1"/>
  <c r="I30" i="5"/>
  <c r="I31" i="5" s="1"/>
  <c r="D43" i="5"/>
  <c r="E43" i="5"/>
  <c r="F43" i="5"/>
  <c r="G43" i="5"/>
  <c r="H43" i="5"/>
  <c r="H45" i="5" s="1"/>
  <c r="H46" i="5" s="1"/>
  <c r="I43" i="5"/>
  <c r="C43" i="5"/>
  <c r="F2" i="5"/>
  <c r="C4" i="5"/>
  <c r="D4" i="5"/>
  <c r="E4" i="5"/>
  <c r="B4" i="5"/>
  <c r="E57" i="5" l="1"/>
  <c r="G57" i="5"/>
  <c r="F57" i="5"/>
  <c r="D57" i="5"/>
  <c r="C57" i="5"/>
  <c r="F4" i="5"/>
  <c r="H57" i="5"/>
  <c r="J30" i="5"/>
  <c r="J31" i="5" s="1"/>
  <c r="J43" i="5"/>
  <c r="F21" i="4"/>
  <c r="B28" i="4"/>
  <c r="C28" i="4"/>
  <c r="D28" i="4"/>
  <c r="E28" i="4"/>
  <c r="B7" i="4"/>
  <c r="B3" i="4"/>
  <c r="B5" i="4" s="1"/>
  <c r="F28" i="4" l="1"/>
  <c r="B9" i="4"/>
  <c r="J57" i="5"/>
  <c r="B8" i="5"/>
  <c r="H24" i="2"/>
  <c r="H39" i="2"/>
  <c r="F5" i="2"/>
  <c r="H7" i="2" s="1"/>
  <c r="B12" i="2" s="1"/>
  <c r="C6" i="2"/>
  <c r="D6" i="2"/>
  <c r="E6" i="2"/>
  <c r="B6" i="2"/>
  <c r="B23" i="4" l="1"/>
  <c r="D23" i="4"/>
  <c r="E23" i="4"/>
  <c r="C23" i="4"/>
  <c r="E12" i="4"/>
  <c r="D22" i="4"/>
  <c r="D24" i="4" s="1"/>
  <c r="D29" i="4" s="1"/>
  <c r="D30" i="4" s="1"/>
  <c r="D31" i="4" s="1"/>
  <c r="C22" i="4"/>
  <c r="C24" i="4" s="1"/>
  <c r="C29" i="4" s="1"/>
  <c r="C30" i="4" s="1"/>
  <c r="C31" i="4" s="1"/>
  <c r="E22" i="4"/>
  <c r="E24" i="4" s="1"/>
  <c r="E29" i="4" s="1"/>
  <c r="E30" i="4" s="1"/>
  <c r="E31" i="4" s="1"/>
  <c r="B22" i="4"/>
  <c r="B14" i="5"/>
  <c r="B13" i="5"/>
  <c r="I42" i="5"/>
  <c r="I45" i="5" s="1"/>
  <c r="I46" i="5" s="1"/>
  <c r="D42" i="5"/>
  <c r="D45" i="5" s="1"/>
  <c r="D46" i="5" s="1"/>
  <c r="G42" i="5"/>
  <c r="G45" i="5" s="1"/>
  <c r="G46" i="5" s="1"/>
  <c r="C42" i="5"/>
  <c r="C45" i="5" s="1"/>
  <c r="C46" i="5" s="1"/>
  <c r="E42" i="5"/>
  <c r="E45" i="5" s="1"/>
  <c r="E46" i="5" s="1"/>
  <c r="F42" i="5"/>
  <c r="F45" i="5" s="1"/>
  <c r="F46" i="5" s="1"/>
  <c r="B51" i="5"/>
  <c r="B52" i="5" s="1"/>
  <c r="F6" i="2"/>
  <c r="H5" i="2" s="1"/>
  <c r="E22" i="3"/>
  <c r="F22" i="3"/>
  <c r="G22" i="3"/>
  <c r="H22" i="3"/>
  <c r="I22" i="3"/>
  <c r="D22" i="3"/>
  <c r="Q7" i="3"/>
  <c r="Q8" i="3"/>
  <c r="Q9" i="3"/>
  <c r="Q10" i="3"/>
  <c r="Q11" i="3"/>
  <c r="Q6" i="3"/>
  <c r="N22" i="3"/>
  <c r="B11" i="2"/>
  <c r="F56" i="5" l="1"/>
  <c r="F59" i="5" s="1"/>
  <c r="C56" i="5"/>
  <c r="O17" i="3"/>
  <c r="O20" i="3"/>
  <c r="O21" i="3"/>
  <c r="O16" i="3"/>
  <c r="O18" i="3"/>
  <c r="O19" i="3"/>
  <c r="F22" i="4"/>
  <c r="B24" i="4"/>
  <c r="B29" i="4" s="1"/>
  <c r="F23" i="4"/>
  <c r="E21" i="5"/>
  <c r="H21" i="5"/>
  <c r="I21" i="5"/>
  <c r="I23" i="5" s="1"/>
  <c r="F21" i="5"/>
  <c r="G21" i="5"/>
  <c r="C21" i="5"/>
  <c r="C23" i="5" s="1"/>
  <c r="D21" i="5"/>
  <c r="D22" i="5"/>
  <c r="I22" i="5"/>
  <c r="C22" i="5"/>
  <c r="E22" i="5"/>
  <c r="F22" i="5"/>
  <c r="H22" i="5"/>
  <c r="G22" i="5"/>
  <c r="J42" i="5"/>
  <c r="J44" i="5" s="1"/>
  <c r="H56" i="5"/>
  <c r="H59" i="5" s="1"/>
  <c r="D56" i="5"/>
  <c r="D59" i="5" s="1"/>
  <c r="G56" i="5"/>
  <c r="G59" i="5" s="1"/>
  <c r="I56" i="5"/>
  <c r="I59" i="5" s="1"/>
  <c r="J45" i="5"/>
  <c r="E56" i="5"/>
  <c r="E59" i="5" s="1"/>
  <c r="Q12" i="3"/>
  <c r="B13" i="2"/>
  <c r="B33" i="2"/>
  <c r="E18" i="2" l="1"/>
  <c r="E23" i="2" s="1"/>
  <c r="F18" i="2"/>
  <c r="F23" i="2" s="1"/>
  <c r="G18" i="2"/>
  <c r="G23" i="2" s="1"/>
  <c r="G25" i="2" s="1"/>
  <c r="G26" i="2" s="1"/>
  <c r="B18" i="2"/>
  <c r="C18" i="2"/>
  <c r="C23" i="2" s="1"/>
  <c r="D18" i="2"/>
  <c r="D23" i="2" s="1"/>
  <c r="D23" i="5"/>
  <c r="F24" i="4"/>
  <c r="G23" i="5"/>
  <c r="O22" i="3"/>
  <c r="H23" i="5"/>
  <c r="L7" i="3"/>
  <c r="F23" i="5"/>
  <c r="E23" i="5"/>
  <c r="L11" i="3"/>
  <c r="L6" i="3"/>
  <c r="J22" i="5"/>
  <c r="J21" i="5"/>
  <c r="J56" i="5"/>
  <c r="J58" i="5" s="1"/>
  <c r="C59" i="5"/>
  <c r="N11" i="3"/>
  <c r="N7" i="3"/>
  <c r="J7" i="3"/>
  <c r="J8" i="3"/>
  <c r="O8" i="3" s="1"/>
  <c r="J11" i="3"/>
  <c r="K7" i="3"/>
  <c r="K6" i="3"/>
  <c r="M8" i="3"/>
  <c r="M10" i="3"/>
  <c r="O10" i="3" s="1"/>
  <c r="M6" i="3"/>
  <c r="M9" i="3"/>
  <c r="O9" i="3" s="1"/>
  <c r="I7" i="3"/>
  <c r="B38" i="2"/>
  <c r="B40" i="2" s="1"/>
  <c r="B41" i="2" s="1"/>
  <c r="C38" i="2"/>
  <c r="C40" i="2" s="1"/>
  <c r="C41" i="2" s="1"/>
  <c r="D38" i="2"/>
  <c r="D40" i="2" s="1"/>
  <c r="D41" i="2" s="1"/>
  <c r="E38" i="2"/>
  <c r="E40" i="2" s="1"/>
  <c r="E41" i="2" s="1"/>
  <c r="F38" i="2"/>
  <c r="F40" i="2" s="1"/>
  <c r="F41" i="2" s="1"/>
  <c r="G38" i="2"/>
  <c r="G40" i="2" s="1"/>
  <c r="G41" i="2" s="1"/>
  <c r="B23" i="2" l="1"/>
  <c r="B25" i="2" s="1"/>
  <c r="F25" i="2"/>
  <c r="F26" i="2" s="1"/>
  <c r="E25" i="2"/>
  <c r="E26" i="2" s="1"/>
  <c r="D25" i="2"/>
  <c r="D26" i="2" s="1"/>
  <c r="C25" i="2"/>
  <c r="C26" i="2" s="1"/>
  <c r="H18" i="2"/>
  <c r="J23" i="5"/>
  <c r="L12" i="3"/>
  <c r="B30" i="4"/>
  <c r="B31" i="4" s="1"/>
  <c r="F29" i="4"/>
  <c r="F30" i="4" s="1"/>
  <c r="F31" i="4" s="1"/>
  <c r="N12" i="3"/>
  <c r="J59" i="5"/>
  <c r="K12" i="3"/>
  <c r="M12" i="3"/>
  <c r="O7" i="3"/>
  <c r="O11" i="3"/>
  <c r="J12" i="3"/>
  <c r="I12" i="3"/>
  <c r="H23" i="2"/>
  <c r="H27" i="2" s="1"/>
  <c r="H38" i="2"/>
  <c r="H40" i="2" s="1"/>
  <c r="O12" i="3" l="1"/>
  <c r="S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99000000/180000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369,17*20%</t>
        </r>
      </text>
    </comment>
    <comment ref="B3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349,17*20% = 67,80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2" authorId="0" shapeId="0" xr:uid="{D73CFB71-880D-489D-AB3F-C01AFA729A61}">
      <text>
        <r>
          <rPr>
            <sz val="9"/>
            <color indexed="81"/>
            <rFont val="Tahoma"/>
            <family val="2"/>
          </rPr>
          <t xml:space="preserve">167 * 70%
</t>
        </r>
      </text>
    </comment>
    <comment ref="B21" authorId="0" shapeId="0" xr:uid="{2E6D10A4-8EB5-492D-8782-FCF2D55144E4}">
      <text>
        <r>
          <rPr>
            <b/>
            <sz val="9"/>
            <color indexed="81"/>
            <rFont val="Tahoma"/>
            <family val="2"/>
          </rPr>
          <t>116,90 * 80% = 93,52€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CEF7B569-4621-42A1-9DD5-F77CAB4DA979}">
      <text>
        <r>
          <rPr>
            <b/>
            <sz val="9"/>
            <color indexed="81"/>
            <rFont val="Tahoma"/>
            <family val="2"/>
          </rPr>
          <t>1,46 / 103,54 = 1,41%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I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14,29%*80% = 11,43%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 xr:uid="{80B4C70F-E4BA-4785-8907-A49D710555F2}">
      <text>
        <r>
          <rPr>
            <b/>
            <sz val="9"/>
            <color indexed="81"/>
            <rFont val="Tahoma"/>
            <family val="2"/>
          </rPr>
          <t>14,29% * 90% = 17,14%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36 * 32,86%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=2,34/8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6/42 =&gt; 14,29%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21" authorId="0" shapeId="0" xr:uid="{F0C1D513-CF13-4DAE-85CF-22DA36DE61F7}">
      <text>
        <r>
          <rPr>
            <b/>
            <sz val="9"/>
            <color indexed="81"/>
            <rFont val="Tahoma"/>
            <family val="2"/>
          </rPr>
          <t>4,49 * 25% = 1,12€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 xr:uid="{5B0B5760-6D69-412D-B7F5-FF41A6E26F06}">
      <text>
        <r>
          <rPr>
            <sz val="9"/>
            <color indexed="81"/>
            <rFont val="Tahoma"/>
            <family val="2"/>
          </rPr>
          <t xml:space="preserve">=(40%*25%)+(60%*20%)
</t>
        </r>
      </text>
    </comment>
    <comment ref="C31" authorId="0" shapeId="0" xr:uid="{D3EA551C-AF76-48AA-B5D5-E749737726D0}">
      <text>
        <r>
          <rPr>
            <b/>
            <sz val="9"/>
            <color indexed="81"/>
            <rFont val="Tahoma"/>
            <family val="2"/>
          </rPr>
          <t>22%*11,22€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 shapeId="0" xr:uid="{B211780F-33DE-4A0D-9273-7B32035B7E73}">
      <text>
        <r>
          <rPr>
            <b/>
            <sz val="9"/>
            <color indexed="81"/>
            <rFont val="Tahoma"/>
            <family val="2"/>
          </rPr>
          <t>22%*11,02€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<sst xmlns="http://schemas.openxmlformats.org/spreadsheetml/2006/main" count="241" uniqueCount="117">
  <si>
    <t>Confort</t>
  </si>
  <si>
    <t>Fonctions</t>
  </si>
  <si>
    <t>TOTAL</t>
  </si>
  <si>
    <t xml:space="preserve">Coût cible </t>
  </si>
  <si>
    <t>Ecart</t>
  </si>
  <si>
    <t>Coût estimé</t>
  </si>
  <si>
    <t>Prix</t>
  </si>
  <si>
    <t>Quantité</t>
  </si>
  <si>
    <t>Années</t>
  </si>
  <si>
    <t>Importance relative du client</t>
  </si>
  <si>
    <t>Design</t>
  </si>
  <si>
    <t>Ecran</t>
  </si>
  <si>
    <t>Interface</t>
  </si>
  <si>
    <t>Autonomie</t>
  </si>
  <si>
    <t>Photo</t>
  </si>
  <si>
    <t>Stockage</t>
  </si>
  <si>
    <t>Prix de vente moyen</t>
  </si>
  <si>
    <t>Marge cible moyenne</t>
  </si>
  <si>
    <t>Coût cible</t>
  </si>
  <si>
    <t>FO 1</t>
  </si>
  <si>
    <t>Facilité d'installation</t>
  </si>
  <si>
    <t>FO 2</t>
  </si>
  <si>
    <t>Facilité d'entretien</t>
  </si>
  <si>
    <t>FO 3</t>
  </si>
  <si>
    <t>Dispositif anti-vol</t>
  </si>
  <si>
    <t>FO 4</t>
  </si>
  <si>
    <t xml:space="preserve">Solidité </t>
  </si>
  <si>
    <t>FO 5</t>
  </si>
  <si>
    <t>Sécurité de l'utilisateur</t>
  </si>
  <si>
    <t>FO 6</t>
  </si>
  <si>
    <t>Légèreté</t>
  </si>
  <si>
    <t>Matrice de coût cible (croisement des composant et des fonctions)</t>
  </si>
  <si>
    <t>Total</t>
  </si>
  <si>
    <t>FO1</t>
  </si>
  <si>
    <t>FO2</t>
  </si>
  <si>
    <t>FO3</t>
  </si>
  <si>
    <t>FO4</t>
  </si>
  <si>
    <t>FO5</t>
  </si>
  <si>
    <t>FO6</t>
  </si>
  <si>
    <t>C 1</t>
  </si>
  <si>
    <t>C 2</t>
  </si>
  <si>
    <t>C 3</t>
  </si>
  <si>
    <t>C 4</t>
  </si>
  <si>
    <t>C 5</t>
  </si>
  <si>
    <t>C 6</t>
  </si>
  <si>
    <t>Référence</t>
  </si>
  <si>
    <t>composant</t>
  </si>
  <si>
    <t>Composant</t>
  </si>
  <si>
    <t>Coût</t>
  </si>
  <si>
    <t>estimé</t>
  </si>
  <si>
    <t>Socle mural de fixation</t>
  </si>
  <si>
    <t>Coque métallique blanche</t>
  </si>
  <si>
    <t>Ventilateur silencieux</t>
  </si>
  <si>
    <t>Résistance de chauffage rapide</t>
  </si>
  <si>
    <t>Dispositif Marche / Arrêt automatique</t>
  </si>
  <si>
    <t>Flexible extensible jusqu'à 1,50 mètre</t>
  </si>
  <si>
    <t>CA</t>
  </si>
  <si>
    <t>Protection</t>
  </si>
  <si>
    <t>Facilité d’entretien</t>
  </si>
  <si>
    <t>Esthétique</t>
  </si>
  <si>
    <t>Composants</t>
  </si>
  <si>
    <t>Vantaux</t>
  </si>
  <si>
    <t>Ferrures</t>
  </si>
  <si>
    <t>Fermetures</t>
  </si>
  <si>
    <t>Revêtement</t>
  </si>
  <si>
    <t>Prix de vente</t>
  </si>
  <si>
    <t>Différence</t>
  </si>
  <si>
    <t>Coûts estimés</t>
  </si>
  <si>
    <t>Encre</t>
  </si>
  <si>
    <t>Pointe</t>
  </si>
  <si>
    <t>Réserve d'encre</t>
  </si>
  <si>
    <t>Barre rigide</t>
  </si>
  <si>
    <t>Corps</t>
  </si>
  <si>
    <t>Opercule</t>
  </si>
  <si>
    <t>Capuchon</t>
  </si>
  <si>
    <t>Mécanique</t>
  </si>
  <si>
    <t>Prévisions de vente</t>
  </si>
  <si>
    <t>N</t>
  </si>
  <si>
    <t>N+1</t>
  </si>
  <si>
    <t>N+2</t>
  </si>
  <si>
    <t>N+3</t>
  </si>
  <si>
    <t>P. vente</t>
  </si>
  <si>
    <t>Coût estimé des composants</t>
  </si>
  <si>
    <t xml:space="preserve">Marge </t>
  </si>
  <si>
    <t xml:space="preserve">PV Moyen </t>
  </si>
  <si>
    <t>En %</t>
  </si>
  <si>
    <t>Coût estimés</t>
  </si>
  <si>
    <t>Chiffre d'Affaires</t>
  </si>
  <si>
    <t>60€ - (40% * 60€)  =&gt; 36€</t>
  </si>
  <si>
    <t>Ecart en €</t>
  </si>
  <si>
    <t>Ecart en %</t>
  </si>
  <si>
    <t>Répartition du coût cible</t>
  </si>
  <si>
    <t>1ERE SOLUTION</t>
  </si>
  <si>
    <t>2EME SOLUTION</t>
  </si>
  <si>
    <t>Confort 60%</t>
  </si>
  <si>
    <t>Mécanique 40%</t>
  </si>
  <si>
    <t>COUT CIBLE</t>
  </si>
  <si>
    <t>ECART en €</t>
  </si>
  <si>
    <t>ECART RELATIF</t>
  </si>
  <si>
    <t>11,22 * 40%</t>
  </si>
  <si>
    <t>11,22*60%</t>
  </si>
  <si>
    <t>Marge unitaire</t>
  </si>
  <si>
    <t>Taux de marge</t>
  </si>
  <si>
    <t>=6970000/4350000</t>
  </si>
  <si>
    <t>Marge  moyenne</t>
  </si>
  <si>
    <t>Mécanique (4,49)</t>
  </si>
  <si>
    <t>Confort (6,73)</t>
  </si>
  <si>
    <t xml:space="preserve">PV </t>
  </si>
  <si>
    <t>Nouveau coût</t>
  </si>
  <si>
    <t>Marge</t>
  </si>
  <si>
    <t>Marge désirée</t>
  </si>
  <si>
    <t>Coût incompréhensible</t>
  </si>
  <si>
    <t>Protection (70%)</t>
  </si>
  <si>
    <t>Facilité d’entretien (20%)</t>
  </si>
  <si>
    <t>Esthétique (10%)</t>
  </si>
  <si>
    <t xml:space="preserve">MARGE </t>
  </si>
  <si>
    <t>550€ - 20€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</si>
</sst>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9" formatCode="#,##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Times New Roman"/>
      <family val="1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</cellStyleXfs>
  <cellXfs count="168">
    <xf numFmtId="0" fontId="0" fillId="0" borderId="0" xfId="0"/>
    <xf numFmtId="44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0" fillId="0" borderId="1" xfId="2" applyNumberFormat="1" applyFont="1" applyBorder="1"/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/>
    <xf numFmtId="0" fontId="0" fillId="2" borderId="0" xfId="0" applyFill="1"/>
    <xf numFmtId="0" fontId="0" fillId="3" borderId="0" xfId="0" applyFill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right" vertical="center" wrapText="1"/>
    </xf>
    <xf numFmtId="10" fontId="4" fillId="0" borderId="13" xfId="0" applyNumberFormat="1" applyFont="1" applyBorder="1" applyAlignment="1">
      <alignment horizontal="right" vertical="center" wrapText="1"/>
    </xf>
    <xf numFmtId="44" fontId="5" fillId="0" borderId="11" xfId="1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0" fillId="0" borderId="0" xfId="0" applyNumberFormat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164" fontId="2" fillId="4" borderId="0" xfId="0" applyNumberFormat="1" applyFont="1" applyFill="1"/>
    <xf numFmtId="0" fontId="0" fillId="5" borderId="0" xfId="0" applyNumberFormat="1" applyFill="1"/>
    <xf numFmtId="9" fontId="0" fillId="0" borderId="0" xfId="0" applyNumberFormat="1"/>
    <xf numFmtId="44" fontId="0" fillId="4" borderId="1" xfId="0" applyNumberFormat="1" applyFill="1" applyBorder="1"/>
    <xf numFmtId="44" fontId="0" fillId="4" borderId="0" xfId="0" applyNumberFormat="1" applyFill="1"/>
    <xf numFmtId="0" fontId="2" fillId="0" borderId="6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6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44" fontId="2" fillId="0" borderId="1" xfId="0" applyNumberFormat="1" applyFont="1" applyBorder="1"/>
    <xf numFmtId="0" fontId="2" fillId="0" borderId="8" xfId="0" applyFont="1" applyBorder="1" applyAlignment="1">
      <alignment horizontal="center" vertical="center" wrapText="1"/>
    </xf>
    <xf numFmtId="44" fontId="2" fillId="0" borderId="1" xfId="1" applyFont="1" applyBorder="1"/>
    <xf numFmtId="0" fontId="2" fillId="0" borderId="0" xfId="0" applyFont="1" applyFill="1" applyBorder="1" applyAlignment="1">
      <alignment horizontal="center" vertical="center" wrapText="1"/>
    </xf>
    <xf numFmtId="44" fontId="2" fillId="0" borderId="0" xfId="0" applyNumberFormat="1" applyFont="1" applyBorder="1"/>
    <xf numFmtId="44" fontId="2" fillId="4" borderId="1" xfId="0" applyNumberFormat="1" applyFont="1" applyFill="1" applyBorder="1"/>
    <xf numFmtId="44" fontId="2" fillId="0" borderId="0" xfId="0" applyNumberFormat="1" applyFont="1" applyFill="1" applyBorder="1"/>
    <xf numFmtId="9" fontId="0" fillId="0" borderId="1" xfId="2" applyFont="1" applyBorder="1"/>
    <xf numFmtId="9" fontId="0" fillId="6" borderId="3" xfId="0" applyNumberFormat="1" applyFill="1" applyBorder="1" applyAlignment="1">
      <alignment horizontal="center" vertical="center" wrapText="1"/>
    </xf>
    <xf numFmtId="44" fontId="13" fillId="6" borderId="14" xfId="1" applyFont="1" applyFill="1" applyBorder="1" applyAlignment="1">
      <alignment horizontal="right" vertical="center" wrapText="1"/>
    </xf>
    <xf numFmtId="44" fontId="13" fillId="8" borderId="14" xfId="1" applyFont="1" applyFill="1" applyBorder="1" applyAlignment="1">
      <alignment horizontal="right" vertical="center" wrapText="1"/>
    </xf>
    <xf numFmtId="10" fontId="2" fillId="0" borderId="1" xfId="2" applyNumberFormat="1" applyFont="1" applyBorder="1"/>
    <xf numFmtId="10" fontId="14" fillId="0" borderId="1" xfId="2" applyNumberFormat="1" applyFont="1" applyBorder="1"/>
    <xf numFmtId="0" fontId="0" fillId="2" borderId="1" xfId="0" applyFill="1" applyBorder="1"/>
    <xf numFmtId="0" fontId="0" fillId="3" borderId="1" xfId="0" applyFill="1" applyBorder="1"/>
    <xf numFmtId="44" fontId="13" fillId="0" borderId="11" xfId="1" applyFont="1" applyBorder="1" applyAlignment="1">
      <alignment horizontal="right" vertical="center" wrapText="1"/>
    </xf>
    <xf numFmtId="44" fontId="15" fillId="6" borderId="0" xfId="1" applyFont="1" applyFill="1"/>
    <xf numFmtId="0" fontId="0" fillId="0" borderId="0" xfId="0" quotePrefix="1"/>
    <xf numFmtId="10" fontId="16" fillId="4" borderId="3" xfId="0" applyNumberFormat="1" applyFont="1" applyFill="1" applyBorder="1" applyAlignment="1">
      <alignment horizontal="center" vertical="center" wrapText="1"/>
    </xf>
    <xf numFmtId="9" fontId="6" fillId="4" borderId="3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right" vertical="center" wrapText="1"/>
    </xf>
    <xf numFmtId="10" fontId="6" fillId="0" borderId="1" xfId="0" applyNumberFormat="1" applyFont="1" applyFill="1" applyBorder="1" applyAlignment="1">
      <alignment horizontal="right" vertical="center" wrapText="1"/>
    </xf>
    <xf numFmtId="10" fontId="8" fillId="7" borderId="13" xfId="0" applyNumberFormat="1" applyFont="1" applyFill="1" applyBorder="1" applyAlignment="1">
      <alignment horizontal="right" vertical="center" wrapText="1"/>
    </xf>
    <xf numFmtId="44" fontId="0" fillId="4" borderId="1" xfId="1" applyFont="1" applyFill="1" applyBorder="1"/>
    <xf numFmtId="44" fontId="2" fillId="4" borderId="0" xfId="0" applyNumberFormat="1" applyFont="1" applyFill="1"/>
    <xf numFmtId="0" fontId="2" fillId="0" borderId="1" xfId="0" applyFont="1" applyBorder="1" applyAlignment="1">
      <alignment wrapText="1"/>
    </xf>
    <xf numFmtId="44" fontId="2" fillId="9" borderId="0" xfId="0" applyNumberFormat="1" applyFont="1" applyFill="1"/>
    <xf numFmtId="44" fontId="2" fillId="9" borderId="1" xfId="0" applyNumberFormat="1" applyFont="1" applyFill="1" applyBorder="1"/>
    <xf numFmtId="0" fontId="0" fillId="0" borderId="0" xfId="0" applyFill="1"/>
    <xf numFmtId="44" fontId="0" fillId="0" borderId="0" xfId="0" applyNumberFormat="1" applyFill="1"/>
    <xf numFmtId="10" fontId="0" fillId="0" borderId="1" xfId="2" applyNumberFormat="1" applyFont="1" applyBorder="1" applyAlignment="1">
      <alignment horizontal="center"/>
    </xf>
    <xf numFmtId="10" fontId="13" fillId="4" borderId="11" xfId="0" applyNumberFormat="1" applyFont="1" applyFill="1" applyBorder="1" applyAlignment="1">
      <alignment horizontal="right" vertical="center" wrapText="1"/>
    </xf>
    <xf numFmtId="44" fontId="17" fillId="0" borderId="11" xfId="1" applyFont="1" applyBorder="1" applyAlignment="1">
      <alignment horizontal="right" vertical="center" wrapText="1"/>
    </xf>
    <xf numFmtId="9" fontId="18" fillId="0" borderId="0" xfId="2" applyFont="1"/>
    <xf numFmtId="9" fontId="18" fillId="4" borderId="0" xfId="2" applyFont="1" applyFill="1"/>
    <xf numFmtId="44" fontId="5" fillId="0" borderId="11" xfId="1" applyFont="1" applyFill="1" applyBorder="1" applyAlignment="1">
      <alignment horizontal="right" vertical="center" wrapText="1"/>
    </xf>
    <xf numFmtId="44" fontId="17" fillId="3" borderId="11" xfId="1" applyFont="1" applyFill="1" applyBorder="1" applyAlignment="1">
      <alignment horizontal="right" vertical="center" wrapText="1"/>
    </xf>
    <xf numFmtId="44" fontId="17" fillId="2" borderId="11" xfId="1" applyFont="1" applyFill="1" applyBorder="1" applyAlignment="1">
      <alignment horizontal="right" vertical="center" wrapText="1"/>
    </xf>
    <xf numFmtId="44" fontId="0" fillId="2" borderId="0" xfId="0" applyNumberFormat="1" applyFill="1"/>
    <xf numFmtId="0" fontId="0" fillId="10" borderId="1" xfId="0" applyFill="1" applyBorder="1" applyAlignment="1">
      <alignment horizontal="center"/>
    </xf>
    <xf numFmtId="44" fontId="0" fillId="10" borderId="1" xfId="1" applyFont="1" applyFill="1" applyBorder="1"/>
    <xf numFmtId="44" fontId="0" fillId="3" borderId="1" xfId="0" applyNumberFormat="1" applyFill="1" applyBorder="1"/>
    <xf numFmtId="9" fontId="0" fillId="3" borderId="1" xfId="2" applyFont="1" applyFill="1" applyBorder="1"/>
    <xf numFmtId="44" fontId="0" fillId="6" borderId="1" xfId="1" applyFont="1" applyFill="1" applyBorder="1"/>
    <xf numFmtId="44" fontId="2" fillId="6" borderId="1" xfId="0" applyNumberFormat="1" applyFont="1" applyFill="1" applyBorder="1"/>
    <xf numFmtId="44" fontId="0" fillId="6" borderId="1" xfId="0" applyNumberFormat="1" applyFill="1" applyBorder="1"/>
    <xf numFmtId="44" fontId="2" fillId="4" borderId="1" xfId="1" applyFont="1" applyFill="1" applyBorder="1"/>
    <xf numFmtId="44" fontId="0" fillId="4" borderId="0" xfId="1" applyFont="1" applyFill="1"/>
    <xf numFmtId="9" fontId="0" fillId="0" borderId="1" xfId="0" applyNumberFormat="1" applyBorder="1"/>
    <xf numFmtId="0" fontId="0" fillId="6" borderId="1" xfId="0" applyFill="1" applyBorder="1"/>
    <xf numFmtId="44" fontId="18" fillId="0" borderId="3" xfId="0" applyNumberFormat="1" applyFont="1" applyFill="1" applyBorder="1" applyAlignment="1">
      <alignment horizontal="center" vertical="center" wrapText="1"/>
    </xf>
    <xf numFmtId="44" fontId="18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4" fontId="18" fillId="0" borderId="0" xfId="0" applyNumberFormat="1" applyFont="1" applyFill="1" applyBorder="1" applyAlignment="1">
      <alignment horizontal="center" vertical="center" wrapText="1"/>
    </xf>
    <xf numFmtId="44" fontId="18" fillId="0" borderId="0" xfId="0" applyNumberFormat="1" applyFont="1" applyBorder="1" applyAlignment="1">
      <alignment horizontal="center" vertical="center" wrapText="1"/>
    </xf>
    <xf numFmtId="44" fontId="18" fillId="6" borderId="3" xfId="0" applyNumberFormat="1" applyFont="1" applyFill="1" applyBorder="1" applyAlignment="1">
      <alignment horizontal="center" vertical="center" wrapText="1"/>
    </xf>
    <xf numFmtId="44" fontId="18" fillId="0" borderId="1" xfId="0" applyNumberFormat="1" applyFont="1" applyBorder="1"/>
    <xf numFmtId="8" fontId="18" fillId="0" borderId="3" xfId="0" applyNumberFormat="1" applyFont="1" applyFill="1" applyBorder="1" applyAlignment="1">
      <alignment horizontal="right" vertical="center" wrapText="1"/>
    </xf>
    <xf numFmtId="8" fontId="18" fillId="0" borderId="16" xfId="0" applyNumberFormat="1" applyFont="1" applyFill="1" applyBorder="1" applyAlignment="1">
      <alignment horizontal="right" vertical="center" wrapText="1"/>
    </xf>
    <xf numFmtId="44" fontId="14" fillId="0" borderId="1" xfId="0" applyNumberFormat="1" applyFont="1" applyFill="1" applyBorder="1"/>
    <xf numFmtId="8" fontId="14" fillId="0" borderId="17" xfId="0" applyNumberFormat="1" applyFont="1" applyFill="1" applyBorder="1" applyAlignment="1">
      <alignment horizontal="center" vertical="center" wrapText="1"/>
    </xf>
    <xf numFmtId="44" fontId="14" fillId="0" borderId="18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44" fontId="18" fillId="0" borderId="16" xfId="0" applyNumberFormat="1" applyFont="1" applyBorder="1" applyAlignment="1">
      <alignment horizontal="center" vertical="center" wrapText="1"/>
    </xf>
    <xf numFmtId="10" fontId="14" fillId="0" borderId="1" xfId="2" applyNumberFormat="1" applyFont="1" applyFill="1" applyBorder="1"/>
    <xf numFmtId="44" fontId="21" fillId="4" borderId="0" xfId="0" applyNumberFormat="1" applyFont="1" applyFill="1"/>
    <xf numFmtId="10" fontId="20" fillId="3" borderId="1" xfId="2" applyNumberFormat="1" applyFont="1" applyFill="1" applyBorder="1"/>
    <xf numFmtId="44" fontId="18" fillId="4" borderId="1" xfId="0" applyNumberFormat="1" applyFont="1" applyFill="1" applyBorder="1"/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8" fontId="18" fillId="4" borderId="3" xfId="0" applyNumberFormat="1" applyFont="1" applyFill="1" applyBorder="1" applyAlignment="1">
      <alignment horizontal="right" vertical="center" wrapText="1"/>
    </xf>
    <xf numFmtId="8" fontId="14" fillId="4" borderId="17" xfId="0" applyNumberFormat="1" applyFont="1" applyFill="1" applyBorder="1" applyAlignment="1">
      <alignment horizontal="center" vertical="center" wrapText="1"/>
    </xf>
    <xf numFmtId="9" fontId="18" fillId="0" borderId="1" xfId="2" applyFont="1" applyFill="1" applyBorder="1"/>
    <xf numFmtId="0" fontId="0" fillId="0" borderId="0" xfId="0" applyBorder="1"/>
    <xf numFmtId="44" fontId="0" fillId="0" borderId="0" xfId="0" applyNumberFormat="1" applyFill="1" applyBorder="1"/>
    <xf numFmtId="0" fontId="0" fillId="0" borderId="1" xfId="0" applyFill="1" applyBorder="1"/>
    <xf numFmtId="164" fontId="0" fillId="4" borderId="0" xfId="0" applyNumberFormat="1" applyFill="1"/>
    <xf numFmtId="1" fontId="0" fillId="4" borderId="0" xfId="0" applyNumberFormat="1" applyFill="1"/>
    <xf numFmtId="0" fontId="22" fillId="3" borderId="1" xfId="0" applyFont="1" applyFill="1" applyBorder="1"/>
    <xf numFmtId="44" fontId="22" fillId="3" borderId="1" xfId="0" applyNumberFormat="1" applyFont="1" applyFill="1" applyBorder="1"/>
    <xf numFmtId="44" fontId="14" fillId="11" borderId="3" xfId="0" applyNumberFormat="1" applyFont="1" applyFill="1" applyBorder="1" applyAlignment="1">
      <alignment horizontal="center" vertical="center" wrapText="1"/>
    </xf>
    <xf numFmtId="44" fontId="14" fillId="11" borderId="16" xfId="0" applyNumberFormat="1" applyFont="1" applyFill="1" applyBorder="1" applyAlignment="1">
      <alignment horizontal="center" vertical="center" wrapText="1"/>
    </xf>
    <xf numFmtId="44" fontId="14" fillId="11" borderId="1" xfId="0" applyNumberFormat="1" applyFont="1" applyFill="1" applyBorder="1"/>
    <xf numFmtId="44" fontId="18" fillId="11" borderId="3" xfId="0" applyNumberFormat="1" applyFont="1" applyFill="1" applyBorder="1" applyAlignment="1">
      <alignment horizontal="center" vertical="center" wrapText="1"/>
    </xf>
    <xf numFmtId="44" fontId="18" fillId="11" borderId="16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12" borderId="20" xfId="0" applyFill="1" applyBorder="1" applyAlignment="1">
      <alignment horizontal="center"/>
    </xf>
    <xf numFmtId="169" fontId="0" fillId="12" borderId="0" xfId="0" applyNumberFormat="1" applyFill="1"/>
    <xf numFmtId="164" fontId="2" fillId="12" borderId="0" xfId="0" applyNumberFormat="1" applyFont="1" applyFill="1"/>
    <xf numFmtId="44" fontId="0" fillId="0" borderId="1" xfId="1" applyFont="1" applyFill="1" applyBorder="1"/>
    <xf numFmtId="0" fontId="0" fillId="0" borderId="0" xfId="0" quotePrefix="1" applyAlignment="1">
      <alignment horizontal="center"/>
    </xf>
  </cellXfs>
  <cellStyles count="4">
    <cellStyle name="Monétaire" xfId="1" builtinId="4"/>
    <cellStyle name="Normal" xfId="0" builtinId="0"/>
    <cellStyle name="Normal 2" xfId="3" xr:uid="{D8D44946-84A0-434F-9B96-778E57D3D5C3}"/>
    <cellStyle name="Pourcentage" xfId="2" builtinId="5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660949</xdr:colOff>
      <xdr:row>23</xdr:row>
      <xdr:rowOff>149314</xdr:rowOff>
    </xdr:from>
    <xdr:to>
      <xdr:col>8</xdr:col>
      <xdr:colOff>477521</xdr:colOff>
      <xdr:row>32</xdr:row>
      <xdr:rowOff>97566</xdr:rowOff>
    </xdr:to>
    <xdr:pic>
      <xdr:nvPicPr>
        <xdr:cNvPr id="2" name="Image 1" descr="Résultat de recherche d'images pour &quot;ferrure de volets bois&quot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91" t="8166" r="13970" b="6973"/>
        <a:stretch/>
      </xdr:blipFill>
      <xdr:spPr bwMode="auto">
        <a:xfrm>
          <a:off x="6274349" y="3563074"/>
          <a:ext cx="1244052" cy="164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tabSelected="1" topLeftCell="A28" zoomScale="200" zoomScaleNormal="200" workbookViewId="0">
      <selection activeCell="C36" activeCellId="1" sqref="E36:E42 C36:C42"/>
    </sheetView>
  </sheetViews>
  <sheetFormatPr baseColWidth="10" defaultRowHeight="15" x14ac:dyDescent="0.25"/>
  <cols>
    <col min="1" max="1" width="26.7109375" customWidth="1"/>
    <col min="2" max="2" width="15.7109375" bestFit="1" customWidth="1"/>
    <col min="3" max="5" width="14.140625" bestFit="1" customWidth="1"/>
    <col min="6" max="6" width="13.28515625" bestFit="1" customWidth="1"/>
  </cols>
  <sheetData>
    <row r="1" spans="1:8" x14ac:dyDescent="0.25">
      <c r="A1" s="3" t="s">
        <v>102</v>
      </c>
      <c r="B1" s="112">
        <v>0.4</v>
      </c>
      <c r="C1" s="154">
        <v>0.25</v>
      </c>
      <c r="D1" s="154"/>
      <c r="E1" s="154"/>
    </row>
    <row r="2" spans="1:8" x14ac:dyDescent="0.25">
      <c r="A2" s="3" t="s">
        <v>101</v>
      </c>
      <c r="B2" s="9">
        <f>B1*650</f>
        <v>260</v>
      </c>
      <c r="C2" s="9">
        <f>530*C1</f>
        <v>132.5</v>
      </c>
      <c r="D2" s="9">
        <f>470*C1</f>
        <v>117.5</v>
      </c>
      <c r="E2" s="9">
        <f>320*C1</f>
        <v>80</v>
      </c>
    </row>
    <row r="3" spans="1:8" x14ac:dyDescent="0.25">
      <c r="A3" s="3" t="s">
        <v>8</v>
      </c>
      <c r="B3" s="3">
        <v>1</v>
      </c>
      <c r="C3" s="3">
        <v>2</v>
      </c>
      <c r="D3" s="3">
        <v>3</v>
      </c>
      <c r="E3" s="3">
        <v>4</v>
      </c>
      <c r="F3" s="155" t="s">
        <v>2</v>
      </c>
    </row>
    <row r="4" spans="1:8" x14ac:dyDescent="0.25">
      <c r="A4" s="3" t="s">
        <v>6</v>
      </c>
      <c r="B4" s="11">
        <v>650</v>
      </c>
      <c r="C4" s="11">
        <v>530</v>
      </c>
      <c r="D4" s="11">
        <v>470</v>
      </c>
      <c r="E4" s="11">
        <v>320</v>
      </c>
      <c r="F4" s="155"/>
    </row>
    <row r="5" spans="1:8" x14ac:dyDescent="0.25">
      <c r="A5" s="3" t="s">
        <v>7</v>
      </c>
      <c r="B5" s="3">
        <v>80000</v>
      </c>
      <c r="C5" s="3">
        <v>50000</v>
      </c>
      <c r="D5" s="3">
        <v>30000</v>
      </c>
      <c r="E5" s="3">
        <v>20000</v>
      </c>
      <c r="F5" s="51">
        <f>SUM(B5:E5)</f>
        <v>180000</v>
      </c>
      <c r="H5" s="1">
        <f>F6/F5</f>
        <v>550</v>
      </c>
    </row>
    <row r="6" spans="1:8" x14ac:dyDescent="0.25">
      <c r="A6" s="48" t="s">
        <v>56</v>
      </c>
      <c r="B6" s="49">
        <f>B4*B5</f>
        <v>52000000</v>
      </c>
      <c r="C6" s="49">
        <f t="shared" ref="C6:E6" si="0">C4*C5</f>
        <v>26500000</v>
      </c>
      <c r="D6" s="49">
        <f t="shared" si="0"/>
        <v>14100000</v>
      </c>
      <c r="E6" s="49">
        <f t="shared" si="0"/>
        <v>6400000</v>
      </c>
      <c r="F6" s="50">
        <f>SUM(B6:E6)</f>
        <v>99000000</v>
      </c>
      <c r="H6" s="1"/>
    </row>
    <row r="7" spans="1:8" x14ac:dyDescent="0.25">
      <c r="A7" s="163" t="s">
        <v>115</v>
      </c>
      <c r="B7" s="164">
        <f>B5*B2</f>
        <v>20800000</v>
      </c>
      <c r="C7" s="164">
        <f t="shared" ref="C7:E7" si="1">C5*C2</f>
        <v>6625000</v>
      </c>
      <c r="D7" s="164">
        <f t="shared" si="1"/>
        <v>3525000</v>
      </c>
      <c r="E7" s="164">
        <f t="shared" si="1"/>
        <v>1600000</v>
      </c>
      <c r="F7" s="165">
        <f>SUM(B7:E7)</f>
        <v>32550000</v>
      </c>
      <c r="H7" s="13">
        <f>F7/F5</f>
        <v>180.83333333333334</v>
      </c>
    </row>
    <row r="8" spans="1:8" x14ac:dyDescent="0.25">
      <c r="F8" s="47"/>
    </row>
    <row r="11" spans="1:8" x14ac:dyDescent="0.25">
      <c r="A11" s="2" t="s">
        <v>16</v>
      </c>
      <c r="B11" s="9">
        <f>((B4*B5)+(C4*C5)+(D4*D5)+(E4*E5))/SUM(B5:E5)</f>
        <v>550</v>
      </c>
    </row>
    <row r="12" spans="1:8" x14ac:dyDescent="0.25">
      <c r="A12" s="2" t="s">
        <v>104</v>
      </c>
      <c r="B12" s="9">
        <f>H7</f>
        <v>180.83333333333334</v>
      </c>
      <c r="C12" s="81"/>
    </row>
    <row r="13" spans="1:8" x14ac:dyDescent="0.25">
      <c r="A13" s="2" t="s">
        <v>18</v>
      </c>
      <c r="B13" s="53">
        <f>B11-B12</f>
        <v>369.16666666666663</v>
      </c>
    </row>
    <row r="14" spans="1:8" x14ac:dyDescent="0.25">
      <c r="A14" s="140"/>
      <c r="B14" s="141"/>
    </row>
    <row r="16" spans="1:8" x14ac:dyDescent="0.25">
      <c r="A16" s="12" t="s">
        <v>1</v>
      </c>
      <c r="B16" s="3" t="s">
        <v>10</v>
      </c>
      <c r="C16" s="3" t="s">
        <v>11</v>
      </c>
      <c r="D16" s="3" t="s">
        <v>12</v>
      </c>
      <c r="E16" s="3" t="s">
        <v>13</v>
      </c>
      <c r="F16" s="3" t="s">
        <v>14</v>
      </c>
      <c r="G16" s="3" t="s">
        <v>15</v>
      </c>
    </row>
    <row r="17" spans="1:8" ht="13.9" customHeight="1" x14ac:dyDescent="0.25">
      <c r="A17" s="6" t="s">
        <v>9</v>
      </c>
      <c r="B17" s="4">
        <v>0.2</v>
      </c>
      <c r="C17" s="4">
        <v>0.18</v>
      </c>
      <c r="D17" s="4">
        <v>0.22</v>
      </c>
      <c r="E17" s="4">
        <v>0.08</v>
      </c>
      <c r="F17" s="4">
        <v>0.14000000000000001</v>
      </c>
      <c r="G17" s="4">
        <v>0.18</v>
      </c>
    </row>
    <row r="18" spans="1:8" x14ac:dyDescent="0.25">
      <c r="B18" s="14">
        <f t="shared" ref="B18:G18" si="2">B17*$B$13</f>
        <v>73.833333333333329</v>
      </c>
      <c r="C18" s="14">
        <f t="shared" si="2"/>
        <v>66.449999999999989</v>
      </c>
      <c r="D18" s="14">
        <f t="shared" si="2"/>
        <v>81.216666666666654</v>
      </c>
      <c r="E18" s="14">
        <f t="shared" si="2"/>
        <v>29.533333333333331</v>
      </c>
      <c r="F18" s="14">
        <f t="shared" si="2"/>
        <v>51.68333333333333</v>
      </c>
      <c r="G18" s="14">
        <f t="shared" si="2"/>
        <v>66.449999999999989</v>
      </c>
      <c r="H18" s="102">
        <f>SUM(B18:G18)</f>
        <v>369.16666666666657</v>
      </c>
    </row>
    <row r="22" spans="1:8" x14ac:dyDescent="0.25">
      <c r="A22" s="12" t="s">
        <v>1</v>
      </c>
      <c r="B22" s="3" t="s">
        <v>10</v>
      </c>
      <c r="C22" s="3" t="s">
        <v>11</v>
      </c>
      <c r="D22" s="3" t="s">
        <v>12</v>
      </c>
      <c r="E22" s="3" t="s">
        <v>13</v>
      </c>
      <c r="F22" s="3" t="s">
        <v>14</v>
      </c>
      <c r="G22" s="3" t="s">
        <v>15</v>
      </c>
    </row>
    <row r="23" spans="1:8" x14ac:dyDescent="0.25">
      <c r="A23" s="7" t="s">
        <v>18</v>
      </c>
      <c r="B23" s="14">
        <f>B18</f>
        <v>73.833333333333329</v>
      </c>
      <c r="C23" s="14">
        <f t="shared" ref="C23:G23" si="3">C18</f>
        <v>66.449999999999989</v>
      </c>
      <c r="D23" s="14">
        <f t="shared" si="3"/>
        <v>81.216666666666654</v>
      </c>
      <c r="E23" s="14">
        <f t="shared" si="3"/>
        <v>29.533333333333331</v>
      </c>
      <c r="F23" s="14">
        <f t="shared" si="3"/>
        <v>51.68333333333333</v>
      </c>
      <c r="G23" s="14">
        <f t="shared" si="3"/>
        <v>66.449999999999989</v>
      </c>
      <c r="H23" s="54">
        <f>SUM(B23:G23)</f>
        <v>369.16666666666657</v>
      </c>
    </row>
    <row r="24" spans="1:8" x14ac:dyDescent="0.25">
      <c r="A24" s="7" t="s">
        <v>5</v>
      </c>
      <c r="B24" s="10">
        <v>72</v>
      </c>
      <c r="C24" s="10">
        <v>70</v>
      </c>
      <c r="D24" s="10">
        <v>80</v>
      </c>
      <c r="E24" s="10">
        <v>32</v>
      </c>
      <c r="F24" s="10">
        <v>60</v>
      </c>
      <c r="G24" s="10">
        <v>66</v>
      </c>
      <c r="H24" s="13">
        <f>SUM(B24:G24)</f>
        <v>380</v>
      </c>
    </row>
    <row r="25" spans="1:8" x14ac:dyDescent="0.25">
      <c r="A25" s="7" t="s">
        <v>97</v>
      </c>
      <c r="B25" s="10">
        <f>B24-B23</f>
        <v>-1.8333333333333286</v>
      </c>
      <c r="C25" s="10">
        <f t="shared" ref="C25:F25" si="4">C24-C23</f>
        <v>3.5500000000000114</v>
      </c>
      <c r="D25" s="10">
        <f t="shared" si="4"/>
        <v>-1.2166666666666544</v>
      </c>
      <c r="E25" s="10">
        <f t="shared" si="4"/>
        <v>2.4666666666666686</v>
      </c>
      <c r="F25" s="10">
        <f t="shared" si="4"/>
        <v>8.31666666666667</v>
      </c>
      <c r="G25" s="10">
        <f t="shared" ref="G25" si="5">G24-G23</f>
        <v>-0.44999999999998863</v>
      </c>
    </row>
    <row r="26" spans="1:8" x14ac:dyDescent="0.25">
      <c r="A26" s="7" t="s">
        <v>98</v>
      </c>
      <c r="B26" s="94">
        <f>B25/B23</f>
        <v>-2.4830699774266302E-2</v>
      </c>
      <c r="C26" s="94">
        <f t="shared" ref="C26:G26" si="6">C25/C23</f>
        <v>5.3423626787058122E-2</v>
      </c>
      <c r="D26" s="94">
        <f t="shared" si="6"/>
        <v>-1.4980504822491129E-2</v>
      </c>
      <c r="E26" s="94">
        <f t="shared" si="6"/>
        <v>8.352144469525967E-2</v>
      </c>
      <c r="F26" s="94">
        <f>F25/F23</f>
        <v>0.16091583360206393</v>
      </c>
      <c r="G26" s="94">
        <f t="shared" si="6"/>
        <v>-6.7720090293452023E-3</v>
      </c>
    </row>
    <row r="27" spans="1:8" x14ac:dyDescent="0.25">
      <c r="B27" s="15"/>
      <c r="C27" s="16"/>
      <c r="D27" s="15"/>
      <c r="E27" s="16"/>
      <c r="F27" s="16"/>
      <c r="G27" s="15"/>
      <c r="H27" s="130">
        <f>H24-H23</f>
        <v>10.833333333333428</v>
      </c>
    </row>
    <row r="31" spans="1:8" x14ac:dyDescent="0.25">
      <c r="A31" s="2" t="s">
        <v>16</v>
      </c>
      <c r="B31" s="87">
        <f>550-20</f>
        <v>530</v>
      </c>
      <c r="C31" s="167" t="s">
        <v>116</v>
      </c>
    </row>
    <row r="32" spans="1:8" x14ac:dyDescent="0.25">
      <c r="A32" s="113" t="s">
        <v>17</v>
      </c>
      <c r="B32" s="107">
        <f>B12</f>
        <v>180.83333333333334</v>
      </c>
      <c r="C32" s="81"/>
    </row>
    <row r="33" spans="1:8" x14ac:dyDescent="0.25">
      <c r="A33" s="2" t="s">
        <v>18</v>
      </c>
      <c r="B33" s="14">
        <f>B31-B32</f>
        <v>349.16666666666663</v>
      </c>
    </row>
    <row r="36" spans="1:8" x14ac:dyDescent="0.25">
      <c r="A36" s="12" t="s">
        <v>1</v>
      </c>
      <c r="B36" s="3" t="s">
        <v>10</v>
      </c>
      <c r="C36" s="3" t="s">
        <v>11</v>
      </c>
      <c r="D36" s="3" t="s">
        <v>12</v>
      </c>
      <c r="E36" s="3" t="s">
        <v>13</v>
      </c>
      <c r="F36" s="3" t="s">
        <v>14</v>
      </c>
      <c r="G36" s="3" t="s">
        <v>15</v>
      </c>
    </row>
    <row r="37" spans="1:8" x14ac:dyDescent="0.25">
      <c r="A37" s="6" t="s">
        <v>9</v>
      </c>
      <c r="B37" s="4">
        <v>0.2</v>
      </c>
      <c r="C37" s="4">
        <v>0.18</v>
      </c>
      <c r="D37" s="4">
        <v>0.22</v>
      </c>
      <c r="E37" s="4">
        <v>0.08</v>
      </c>
      <c r="F37" s="4">
        <v>0.14000000000000001</v>
      </c>
      <c r="G37" s="4">
        <v>0.18</v>
      </c>
    </row>
    <row r="38" spans="1:8" x14ac:dyDescent="0.25">
      <c r="A38" s="2" t="s">
        <v>18</v>
      </c>
      <c r="B38" s="14">
        <f>$B$33*B37</f>
        <v>69.833333333333329</v>
      </c>
      <c r="C38" s="14">
        <f t="shared" ref="C38:G38" si="7">$B$33*C37</f>
        <v>62.849999999999994</v>
      </c>
      <c r="D38" s="14">
        <f t="shared" si="7"/>
        <v>76.816666666666663</v>
      </c>
      <c r="E38" s="14">
        <f t="shared" si="7"/>
        <v>27.93333333333333</v>
      </c>
      <c r="F38" s="14">
        <f t="shared" si="7"/>
        <v>48.883333333333333</v>
      </c>
      <c r="G38" s="14">
        <f t="shared" si="7"/>
        <v>62.849999999999994</v>
      </c>
      <c r="H38" s="88">
        <f>SUM(B38:G38)</f>
        <v>349.16666666666663</v>
      </c>
    </row>
    <row r="39" spans="1:8" x14ac:dyDescent="0.25">
      <c r="A39" s="2" t="s">
        <v>5</v>
      </c>
      <c r="B39" s="9">
        <v>72</v>
      </c>
      <c r="C39" s="9">
        <v>70</v>
      </c>
      <c r="D39" s="9">
        <v>80</v>
      </c>
      <c r="E39" s="166">
        <v>32</v>
      </c>
      <c r="F39" s="87">
        <v>38</v>
      </c>
      <c r="G39" s="9">
        <v>66</v>
      </c>
      <c r="H39" s="13">
        <f>SUM(B39:G39)</f>
        <v>358</v>
      </c>
    </row>
    <row r="40" spans="1:8" x14ac:dyDescent="0.25">
      <c r="A40" s="2" t="s">
        <v>89</v>
      </c>
      <c r="B40" s="14">
        <f t="shared" ref="B40:H40" si="8">B39-B38</f>
        <v>2.1666666666666714</v>
      </c>
      <c r="C40" s="14">
        <f t="shared" si="8"/>
        <v>7.1500000000000057</v>
      </c>
      <c r="D40" s="14">
        <f t="shared" si="8"/>
        <v>3.1833333333333371</v>
      </c>
      <c r="E40" s="14">
        <f t="shared" si="8"/>
        <v>4.06666666666667</v>
      </c>
      <c r="F40" s="14">
        <f t="shared" si="8"/>
        <v>-10.883333333333333</v>
      </c>
      <c r="G40" s="14">
        <f t="shared" si="8"/>
        <v>3.1500000000000057</v>
      </c>
      <c r="H40" s="13">
        <f t="shared" si="8"/>
        <v>8.8333333333333712</v>
      </c>
    </row>
    <row r="41" spans="1:8" x14ac:dyDescent="0.25">
      <c r="A41" s="2" t="s">
        <v>90</v>
      </c>
      <c r="B41" s="8">
        <f t="shared" ref="B41:G41" si="9">B40/B38</f>
        <v>3.1026252983293624E-2</v>
      </c>
      <c r="C41" s="8">
        <f t="shared" si="9"/>
        <v>0.11376292760540981</v>
      </c>
      <c r="D41" s="8">
        <f t="shared" si="9"/>
        <v>4.1440659579084452E-2</v>
      </c>
      <c r="E41" s="8">
        <f t="shared" si="9"/>
        <v>0.14558472553699298</v>
      </c>
      <c r="F41" s="8">
        <f t="shared" si="9"/>
        <v>-0.22263893624275485</v>
      </c>
      <c r="G41" s="8">
        <f t="shared" si="9"/>
        <v>5.0119331742243534E-2</v>
      </c>
    </row>
    <row r="42" spans="1:8" x14ac:dyDescent="0.25">
      <c r="A42" s="2"/>
      <c r="B42" s="78"/>
      <c r="C42" s="78"/>
      <c r="D42" s="78"/>
      <c r="E42" s="78"/>
      <c r="F42" s="77"/>
      <c r="G42" s="142"/>
    </row>
  </sheetData>
  <mergeCells count="2">
    <mergeCell ref="C1:E1"/>
    <mergeCell ref="F3:F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7554-6530-4F4B-84A3-58674602AC15}">
  <dimension ref="A1"/>
  <sheetViews>
    <sheetView workbookViewId="0">
      <selection activeCell="J22" sqref="J2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1"/>
  <sheetViews>
    <sheetView showGridLines="0" topLeftCell="A19" zoomScale="170" zoomScaleNormal="170" zoomScaleSheetLayoutView="100" workbookViewId="0">
      <selection activeCell="B31" sqref="B31"/>
    </sheetView>
  </sheetViews>
  <sheetFormatPr baseColWidth="10" defaultRowHeight="15" x14ac:dyDescent="0.25"/>
  <cols>
    <col min="1" max="1" width="22.85546875" customWidth="1"/>
    <col min="2" max="2" width="14.140625" customWidth="1"/>
    <col min="5" max="5" width="14.7109375" customWidth="1"/>
    <col min="6" max="6" width="11.5703125" customWidth="1"/>
    <col min="7" max="7" width="2.85546875" customWidth="1"/>
    <col min="8" max="8" width="20.7109375" customWidth="1"/>
  </cols>
  <sheetData>
    <row r="2" spans="1:12" x14ac:dyDescent="0.25">
      <c r="A2" s="2" t="s">
        <v>65</v>
      </c>
      <c r="B2" s="9">
        <v>220</v>
      </c>
    </row>
    <row r="3" spans="1:12" x14ac:dyDescent="0.25">
      <c r="A3" s="2" t="s">
        <v>17</v>
      </c>
      <c r="B3" s="9">
        <f>+B2*0.15</f>
        <v>33</v>
      </c>
    </row>
    <row r="4" spans="1:12" x14ac:dyDescent="0.25">
      <c r="A4" s="2" t="s">
        <v>111</v>
      </c>
      <c r="B4" s="9">
        <v>20</v>
      </c>
    </row>
    <row r="5" spans="1:12" x14ac:dyDescent="0.25">
      <c r="A5" s="6" t="s">
        <v>18</v>
      </c>
      <c r="B5" s="69">
        <f>B2-B3-B4</f>
        <v>167</v>
      </c>
    </row>
    <row r="7" spans="1:12" ht="30.75" thickBot="1" x14ac:dyDescent="0.3">
      <c r="A7" s="89" t="s">
        <v>82</v>
      </c>
      <c r="B7" s="66">
        <f>105+48+12+15</f>
        <v>180</v>
      </c>
    </row>
    <row r="8" spans="1:12" ht="30.75" thickBot="1" x14ac:dyDescent="0.3">
      <c r="H8" s="59" t="s">
        <v>60</v>
      </c>
      <c r="I8" s="56" t="s">
        <v>61</v>
      </c>
      <c r="J8" s="56" t="s">
        <v>62</v>
      </c>
      <c r="K8" s="56" t="s">
        <v>63</v>
      </c>
      <c r="L8" s="56" t="s">
        <v>64</v>
      </c>
    </row>
    <row r="9" spans="1:12" ht="15.75" thickBot="1" x14ac:dyDescent="0.3">
      <c r="A9" s="6" t="s">
        <v>66</v>
      </c>
      <c r="B9" s="64">
        <f>B7-B5</f>
        <v>13</v>
      </c>
      <c r="H9" s="61" t="s">
        <v>67</v>
      </c>
      <c r="I9" s="62">
        <v>105</v>
      </c>
      <c r="J9" s="62">
        <v>48</v>
      </c>
      <c r="K9" s="62">
        <v>12</v>
      </c>
      <c r="L9" s="62">
        <v>15</v>
      </c>
    </row>
    <row r="10" spans="1:12" ht="15.75" thickBot="1" x14ac:dyDescent="0.3"/>
    <row r="11" spans="1:12" ht="45.75" thickBot="1" x14ac:dyDescent="0.3">
      <c r="A11" s="55" t="s">
        <v>1</v>
      </c>
      <c r="B11" s="56" t="s">
        <v>112</v>
      </c>
      <c r="C11" s="56" t="s">
        <v>113</v>
      </c>
      <c r="D11" s="56" t="s">
        <v>114</v>
      </c>
    </row>
    <row r="12" spans="1:12" ht="15.75" thickBot="1" x14ac:dyDescent="0.3">
      <c r="A12" s="57" t="s">
        <v>18</v>
      </c>
      <c r="B12" s="114">
        <f>167*70%</f>
        <v>116.89999999999999</v>
      </c>
      <c r="C12" s="115">
        <f>20%*167</f>
        <v>33.4</v>
      </c>
      <c r="D12" s="115">
        <f>16.7</f>
        <v>16.7</v>
      </c>
      <c r="E12" s="54">
        <f>SUM(B12:D12)</f>
        <v>166.99999999999997</v>
      </c>
    </row>
    <row r="13" spans="1:12" x14ac:dyDescent="0.25">
      <c r="A13" s="116"/>
      <c r="B13" s="117"/>
      <c r="C13" s="118"/>
      <c r="D13" s="118"/>
      <c r="E13" s="93"/>
    </row>
    <row r="14" spans="1:12" ht="15.75" thickBot="1" x14ac:dyDescent="0.3">
      <c r="A14" s="116"/>
      <c r="B14" s="117"/>
      <c r="C14" s="118"/>
      <c r="D14" s="118"/>
      <c r="E14" s="93"/>
    </row>
    <row r="15" spans="1:12" ht="15.75" thickBot="1" x14ac:dyDescent="0.3">
      <c r="A15" s="59" t="s">
        <v>60</v>
      </c>
      <c r="B15" s="56" t="s">
        <v>61</v>
      </c>
      <c r="C15" s="56" t="s">
        <v>62</v>
      </c>
      <c r="D15" s="56" t="s">
        <v>63</v>
      </c>
      <c r="E15" s="56" t="s">
        <v>64</v>
      </c>
    </row>
    <row r="16" spans="1:12" ht="15.75" thickBot="1" x14ac:dyDescent="0.3">
      <c r="A16" s="61" t="s">
        <v>57</v>
      </c>
      <c r="B16" s="72">
        <v>0.8</v>
      </c>
      <c r="C16" s="72">
        <v>0.2</v>
      </c>
      <c r="D16" s="58"/>
      <c r="E16" s="58"/>
    </row>
    <row r="17" spans="1:7" ht="15.75" thickBot="1" x14ac:dyDescent="0.3">
      <c r="A17" s="61" t="s">
        <v>58</v>
      </c>
      <c r="B17" s="63">
        <v>0.1</v>
      </c>
      <c r="C17" s="63">
        <v>0.2</v>
      </c>
      <c r="D17" s="63">
        <v>0.2</v>
      </c>
      <c r="E17" s="63">
        <v>0.5</v>
      </c>
    </row>
    <row r="18" spans="1:7" ht="15.75" thickBot="1" x14ac:dyDescent="0.3">
      <c r="A18" s="61" t="s">
        <v>59</v>
      </c>
      <c r="B18" s="63">
        <v>0.4</v>
      </c>
      <c r="C18" s="63">
        <v>0.3</v>
      </c>
      <c r="D18" s="63">
        <v>0.3</v>
      </c>
      <c r="E18" s="58"/>
    </row>
    <row r="19" spans="1:7" ht="15.75" thickBot="1" x14ac:dyDescent="0.3"/>
    <row r="20" spans="1:7" ht="15.75" thickBot="1" x14ac:dyDescent="0.3">
      <c r="A20" s="59" t="s">
        <v>60</v>
      </c>
      <c r="B20" s="60" t="s">
        <v>61</v>
      </c>
      <c r="C20" s="60" t="s">
        <v>62</v>
      </c>
      <c r="D20" s="60" t="s">
        <v>63</v>
      </c>
      <c r="E20" s="65" t="s">
        <v>64</v>
      </c>
      <c r="F20" s="2"/>
    </row>
    <row r="21" spans="1:7" ht="15.75" thickBot="1" x14ac:dyDescent="0.3">
      <c r="A21" s="61" t="s">
        <v>57</v>
      </c>
      <c r="B21" s="119">
        <f>116.9*80%</f>
        <v>93.52000000000001</v>
      </c>
      <c r="C21" s="119">
        <f>116.9*20%</f>
        <v>23.380000000000003</v>
      </c>
      <c r="D21" s="126"/>
      <c r="E21" s="127"/>
      <c r="F21" s="132">
        <f>SUM(B21:E21)</f>
        <v>116.9</v>
      </c>
      <c r="G21" s="13"/>
    </row>
    <row r="22" spans="1:7" ht="15.75" thickBot="1" x14ac:dyDescent="0.3">
      <c r="A22" s="61" t="s">
        <v>58</v>
      </c>
      <c r="B22" s="115">
        <f>$C$12*B17</f>
        <v>3.34</v>
      </c>
      <c r="C22" s="115">
        <f>$C$12*C17</f>
        <v>6.68</v>
      </c>
      <c r="D22" s="115">
        <f>$C$12*D17</f>
        <v>6.68</v>
      </c>
      <c r="E22" s="128">
        <f>$C$12*E17</f>
        <v>16.7</v>
      </c>
      <c r="F22" s="120">
        <f t="shared" ref="F22:F23" si="0">SUM(B22:E22)</f>
        <v>33.4</v>
      </c>
      <c r="G22" s="13"/>
    </row>
    <row r="23" spans="1:7" ht="15.75" thickBot="1" x14ac:dyDescent="0.3">
      <c r="A23" s="61" t="s">
        <v>59</v>
      </c>
      <c r="B23" s="115">
        <f>$D$12*B18</f>
        <v>6.68</v>
      </c>
      <c r="C23" s="115">
        <f>$D$12*C18</f>
        <v>5.01</v>
      </c>
      <c r="D23" s="115">
        <f>$D$12*D18</f>
        <v>5.01</v>
      </c>
      <c r="E23" s="128">
        <f>$D$12*E18</f>
        <v>0</v>
      </c>
      <c r="F23" s="120">
        <f t="shared" si="0"/>
        <v>16.7</v>
      </c>
      <c r="G23" s="13"/>
    </row>
    <row r="24" spans="1:7" ht="15.75" thickBot="1" x14ac:dyDescent="0.3">
      <c r="A24" s="61" t="s">
        <v>2</v>
      </c>
      <c r="B24" s="147">
        <f>SUM(B21:B23)</f>
        <v>103.54000000000002</v>
      </c>
      <c r="C24" s="147">
        <f t="shared" ref="C24:E24" si="1">SUM(C21:C23)</f>
        <v>35.07</v>
      </c>
      <c r="D24" s="147">
        <f t="shared" si="1"/>
        <v>11.69</v>
      </c>
      <c r="E24" s="148">
        <f t="shared" si="1"/>
        <v>16.7</v>
      </c>
      <c r="F24" s="149">
        <f>SUM(B24:E24)</f>
        <v>167</v>
      </c>
      <c r="G24" s="13"/>
    </row>
    <row r="26" spans="1:7" ht="15.75" thickBot="1" x14ac:dyDescent="0.3"/>
    <row r="27" spans="1:7" ht="15.75" thickBot="1" x14ac:dyDescent="0.3">
      <c r="A27" s="59" t="s">
        <v>60</v>
      </c>
      <c r="B27" s="133" t="s">
        <v>61</v>
      </c>
      <c r="C27" s="136" t="s">
        <v>62</v>
      </c>
      <c r="D27" s="133" t="s">
        <v>63</v>
      </c>
      <c r="E27" s="134" t="s">
        <v>64</v>
      </c>
      <c r="F27" s="135" t="s">
        <v>2</v>
      </c>
      <c r="G27" s="67"/>
    </row>
    <row r="28" spans="1:7" ht="15.75" thickBot="1" x14ac:dyDescent="0.3">
      <c r="A28" s="61" t="s">
        <v>5</v>
      </c>
      <c r="B28" s="121">
        <f>I9</f>
        <v>105</v>
      </c>
      <c r="C28" s="137">
        <f>J9</f>
        <v>48</v>
      </c>
      <c r="D28" s="121">
        <f>K9</f>
        <v>12</v>
      </c>
      <c r="E28" s="122">
        <f>L9</f>
        <v>15</v>
      </c>
      <c r="F28" s="123">
        <f>SUM(B28:E28)</f>
        <v>180</v>
      </c>
      <c r="G28" s="68"/>
    </row>
    <row r="29" spans="1:7" ht="15.75" thickBot="1" x14ac:dyDescent="0.3">
      <c r="A29" s="61" t="s">
        <v>18</v>
      </c>
      <c r="B29" s="150">
        <f>B24</f>
        <v>103.54000000000002</v>
      </c>
      <c r="C29" s="150">
        <f>C24</f>
        <v>35.07</v>
      </c>
      <c r="D29" s="150">
        <f>D24</f>
        <v>11.69</v>
      </c>
      <c r="E29" s="151">
        <f>E24</f>
        <v>16.7</v>
      </c>
      <c r="F29" s="149">
        <f>SUM(B29:E29)</f>
        <v>167</v>
      </c>
      <c r="G29" s="68"/>
    </row>
    <row r="30" spans="1:7" x14ac:dyDescent="0.25">
      <c r="A30" s="152" t="s">
        <v>4</v>
      </c>
      <c r="B30" s="124">
        <f>B28-B29</f>
        <v>1.4599999999999795</v>
      </c>
      <c r="C30" s="138">
        <f t="shared" ref="C30:E30" si="2">C28-C29</f>
        <v>12.93</v>
      </c>
      <c r="D30" s="124">
        <f t="shared" si="2"/>
        <v>0.3100000000000005</v>
      </c>
      <c r="E30" s="124">
        <f t="shared" si="2"/>
        <v>-1.6999999999999993</v>
      </c>
      <c r="F30" s="125">
        <f>F28-F29</f>
        <v>13</v>
      </c>
      <c r="G30" s="70"/>
    </row>
    <row r="31" spans="1:7" x14ac:dyDescent="0.25">
      <c r="A31" s="153" t="s">
        <v>90</v>
      </c>
      <c r="B31" s="129">
        <f>B30/B29</f>
        <v>1.4100830596870574E-2</v>
      </c>
      <c r="C31" s="131">
        <f>C30/C29</f>
        <v>0.36869118905047049</v>
      </c>
      <c r="D31" s="129">
        <f t="shared" ref="D31:E31" si="3">D30/D29</f>
        <v>2.651839178785291E-2</v>
      </c>
      <c r="E31" s="129">
        <f t="shared" si="3"/>
        <v>-0.1017964071856287</v>
      </c>
      <c r="F31" s="139">
        <f t="shared" ref="F31" si="4">F30/F28</f>
        <v>7.2222222222222215E-2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23"/>
  <sheetViews>
    <sheetView showGridLines="0" topLeftCell="E1" zoomScale="150" zoomScaleNormal="150" workbookViewId="0">
      <selection activeCell="H8" sqref="H8:R8"/>
    </sheetView>
  </sheetViews>
  <sheetFormatPr baseColWidth="10" defaultRowHeight="15" x14ac:dyDescent="0.25"/>
  <cols>
    <col min="3" max="3" width="18.85546875" customWidth="1"/>
    <col min="4" max="4" width="17.28515625" customWidth="1"/>
    <col min="9" max="12" width="8.5703125" customWidth="1"/>
    <col min="13" max="13" width="13.28515625" bestFit="1" customWidth="1"/>
    <col min="14" max="15" width="8.5703125" customWidth="1"/>
    <col min="16" max="16" width="10.28515625" customWidth="1"/>
    <col min="17" max="17" width="9.5703125" customWidth="1"/>
    <col min="18" max="18" width="10.28515625" customWidth="1"/>
  </cols>
  <sheetData>
    <row r="2" spans="2:19" ht="23.25" x14ac:dyDescent="0.35">
      <c r="L2" s="80" t="s">
        <v>3</v>
      </c>
      <c r="M2" s="80">
        <f>60-60*0.4</f>
        <v>36</v>
      </c>
      <c r="N2" s="81" t="s">
        <v>88</v>
      </c>
    </row>
    <row r="3" spans="2:19" ht="15.75" thickBot="1" x14ac:dyDescent="0.3"/>
    <row r="4" spans="2:19" ht="26.25" thickBot="1" x14ac:dyDescent="0.3">
      <c r="B4" s="18"/>
      <c r="C4" s="37" t="s">
        <v>45</v>
      </c>
      <c r="D4" s="160" t="s">
        <v>47</v>
      </c>
      <c r="E4" s="39" t="s">
        <v>48</v>
      </c>
      <c r="H4" s="158" t="s">
        <v>31</v>
      </c>
      <c r="I4" s="159"/>
      <c r="J4" s="159"/>
      <c r="K4" s="159"/>
      <c r="L4" s="159"/>
      <c r="M4" s="159"/>
      <c r="N4" s="159"/>
      <c r="O4" s="23" t="s">
        <v>32</v>
      </c>
      <c r="P4" s="23" t="s">
        <v>18</v>
      </c>
      <c r="Q4" s="23" t="s">
        <v>5</v>
      </c>
      <c r="R4" s="23" t="s">
        <v>4</v>
      </c>
    </row>
    <row r="5" spans="2:19" ht="16.5" thickBot="1" x14ac:dyDescent="0.3">
      <c r="B5" s="18"/>
      <c r="C5" s="38" t="s">
        <v>46</v>
      </c>
      <c r="D5" s="161"/>
      <c r="E5" s="40" t="s">
        <v>49</v>
      </c>
      <c r="H5" s="24"/>
      <c r="I5" s="17" t="s">
        <v>33</v>
      </c>
      <c r="J5" s="17" t="s">
        <v>34</v>
      </c>
      <c r="K5" s="17" t="s">
        <v>35</v>
      </c>
      <c r="L5" s="17" t="s">
        <v>36</v>
      </c>
      <c r="M5" s="17" t="s">
        <v>37</v>
      </c>
      <c r="N5" s="17" t="s">
        <v>38</v>
      </c>
      <c r="O5" s="25"/>
      <c r="P5" s="25"/>
      <c r="Q5" s="25"/>
      <c r="R5" s="25"/>
    </row>
    <row r="6" spans="2:19" ht="16.5" thickBot="1" x14ac:dyDescent="0.3">
      <c r="B6" s="18"/>
      <c r="C6" s="42" t="s">
        <v>39</v>
      </c>
      <c r="D6" s="43" t="s">
        <v>50</v>
      </c>
      <c r="E6" s="44">
        <v>12</v>
      </c>
      <c r="H6" s="24" t="s">
        <v>39</v>
      </c>
      <c r="I6" s="82">
        <f>14.29%*80%</f>
        <v>0.11432</v>
      </c>
      <c r="J6" s="33"/>
      <c r="K6" s="33">
        <f>O18*F$16</f>
        <v>0.17142857142857143</v>
      </c>
      <c r="L6" s="33">
        <f>O19*G$16</f>
        <v>4.2857142857142851E-2</v>
      </c>
      <c r="M6" s="33">
        <f>O20*H$16</f>
        <v>0</v>
      </c>
      <c r="N6" s="33"/>
      <c r="O6" s="95">
        <f>SUM(I6:N6)</f>
        <v>0.32860571428571433</v>
      </c>
      <c r="P6" s="99">
        <f>36*0.3286</f>
        <v>11.829599999999999</v>
      </c>
      <c r="Q6" s="36">
        <f t="shared" ref="Q6:Q11" si="0">E6</f>
        <v>12</v>
      </c>
      <c r="R6" s="100">
        <f>P6-Q6</f>
        <v>-0.17040000000000077</v>
      </c>
      <c r="S6" s="97">
        <f>R6/Q6</f>
        <v>-1.4200000000000065E-2</v>
      </c>
    </row>
    <row r="7" spans="2:19" ht="16.5" thickBot="1" x14ac:dyDescent="0.3">
      <c r="B7" s="18"/>
      <c r="C7" s="42" t="s">
        <v>40</v>
      </c>
      <c r="D7" s="43" t="s">
        <v>51</v>
      </c>
      <c r="E7" s="44">
        <v>10</v>
      </c>
      <c r="H7" s="24" t="s">
        <v>40</v>
      </c>
      <c r="I7" s="33">
        <f>O16*$D17</f>
        <v>2.8571428571428571E-2</v>
      </c>
      <c r="J7" s="33">
        <f>$O17*$E17</f>
        <v>8.3333333333333329E-2</v>
      </c>
      <c r="K7" s="33">
        <f>$O$18*$F17</f>
        <v>1.9047619047619049E-2</v>
      </c>
      <c r="L7" s="33">
        <f>$O$19*$G17</f>
        <v>5.7142857142857141E-2</v>
      </c>
      <c r="M7" s="33"/>
      <c r="N7" s="33">
        <f>O$21*I17</f>
        <v>7.1428571428571425E-2</v>
      </c>
      <c r="O7" s="34">
        <f t="shared" ref="O7:O11" si="1">SUM(I7:N7)</f>
        <v>0.25952380952380949</v>
      </c>
      <c r="P7" s="99">
        <f>36*O7</f>
        <v>9.3428571428571416</v>
      </c>
      <c r="Q7" s="36">
        <f t="shared" si="0"/>
        <v>10</v>
      </c>
      <c r="R7" s="100">
        <f>P7-Q7</f>
        <v>-0.65714285714285836</v>
      </c>
      <c r="S7" s="97">
        <f t="shared" ref="S7:S11" si="2">R7/Q7</f>
        <v>-6.5714285714285836E-2</v>
      </c>
    </row>
    <row r="8" spans="2:19" ht="16.5" thickBot="1" x14ac:dyDescent="0.3">
      <c r="B8" s="18"/>
      <c r="C8" s="42" t="s">
        <v>41</v>
      </c>
      <c r="D8" s="43" t="s">
        <v>52</v>
      </c>
      <c r="E8" s="44">
        <v>8</v>
      </c>
      <c r="H8" s="24" t="s">
        <v>41</v>
      </c>
      <c r="I8" s="33"/>
      <c r="J8" s="33">
        <f>E18*O17</f>
        <v>4.9999999999999996E-2</v>
      </c>
      <c r="K8" s="33"/>
      <c r="L8" s="33"/>
      <c r="M8" s="33">
        <f>$O$20*$H18</f>
        <v>0.10714285714285714</v>
      </c>
      <c r="N8" s="33"/>
      <c r="O8" s="34">
        <f t="shared" si="1"/>
        <v>0.15714285714285714</v>
      </c>
      <c r="P8" s="99">
        <f t="shared" ref="P8:P11" si="3">36*O8</f>
        <v>5.6571428571428566</v>
      </c>
      <c r="Q8" s="79">
        <f t="shared" si="0"/>
        <v>8</v>
      </c>
      <c r="R8" s="100">
        <f>P8-Q8</f>
        <v>-2.3428571428571434</v>
      </c>
      <c r="S8" s="98">
        <f t="shared" si="2"/>
        <v>-0.29285714285714293</v>
      </c>
    </row>
    <row r="9" spans="2:19" ht="16.5" thickBot="1" x14ac:dyDescent="0.3">
      <c r="B9" s="18"/>
      <c r="C9" s="42" t="s">
        <v>42</v>
      </c>
      <c r="D9" s="43" t="s">
        <v>53</v>
      </c>
      <c r="E9" s="44">
        <v>2</v>
      </c>
      <c r="H9" s="24" t="s">
        <v>42</v>
      </c>
      <c r="I9" s="33"/>
      <c r="J9" s="33"/>
      <c r="K9" s="33"/>
      <c r="L9" s="33"/>
      <c r="M9" s="33">
        <f>O20*H19</f>
        <v>6.4285714285714279E-2</v>
      </c>
      <c r="N9" s="33"/>
      <c r="O9" s="34">
        <f t="shared" si="1"/>
        <v>6.4285714285714279E-2</v>
      </c>
      <c r="P9" s="99">
        <f t="shared" si="3"/>
        <v>2.3142857142857141</v>
      </c>
      <c r="Q9" s="36">
        <f t="shared" si="0"/>
        <v>2</v>
      </c>
      <c r="R9" s="101">
        <f>P9-Q9</f>
        <v>0.31428571428571406</v>
      </c>
      <c r="S9" s="97">
        <f t="shared" si="2"/>
        <v>0.15714285714285703</v>
      </c>
    </row>
    <row r="10" spans="2:19" ht="16.5" thickBot="1" x14ac:dyDescent="0.3">
      <c r="B10" s="18"/>
      <c r="C10" s="42" t="s">
        <v>43</v>
      </c>
      <c r="D10" s="43" t="s">
        <v>54</v>
      </c>
      <c r="E10" s="44">
        <v>2</v>
      </c>
      <c r="H10" s="24" t="s">
        <v>43</v>
      </c>
      <c r="I10" s="33"/>
      <c r="J10" s="33"/>
      <c r="K10" s="33"/>
      <c r="L10" s="33"/>
      <c r="M10" s="33">
        <f>$O$20*$H20</f>
        <v>4.2857142857142858E-2</v>
      </c>
      <c r="N10" s="33"/>
      <c r="O10" s="34">
        <f t="shared" si="1"/>
        <v>4.2857142857142858E-2</v>
      </c>
      <c r="P10" s="99">
        <f t="shared" si="3"/>
        <v>1.5428571428571429</v>
      </c>
      <c r="Q10" s="79">
        <f t="shared" si="0"/>
        <v>2</v>
      </c>
      <c r="R10" s="100">
        <f t="shared" ref="R10:R12" si="4">P10-Q10</f>
        <v>-0.45714285714285707</v>
      </c>
      <c r="S10" s="98">
        <f t="shared" si="2"/>
        <v>-0.22857142857142854</v>
      </c>
    </row>
    <row r="11" spans="2:19" ht="16.5" thickBot="1" x14ac:dyDescent="0.3">
      <c r="C11" s="42" t="s">
        <v>44</v>
      </c>
      <c r="D11" s="43" t="s">
        <v>55</v>
      </c>
      <c r="E11" s="44">
        <v>4</v>
      </c>
      <c r="H11" s="24" t="s">
        <v>44</v>
      </c>
      <c r="I11" s="33"/>
      <c r="J11" s="33">
        <f>O17*$E21</f>
        <v>3.3333333333333333E-2</v>
      </c>
      <c r="K11" s="33"/>
      <c r="L11" s="33">
        <f>$O$19*$G21</f>
        <v>4.2857142857142851E-2</v>
      </c>
      <c r="M11" s="33"/>
      <c r="N11" s="33">
        <f>O$21*I21</f>
        <v>7.1428571428571425E-2</v>
      </c>
      <c r="O11" s="34">
        <f t="shared" si="1"/>
        <v>0.14761904761904759</v>
      </c>
      <c r="P11" s="99">
        <f t="shared" si="3"/>
        <v>5.3142857142857132</v>
      </c>
      <c r="Q11" s="36">
        <f t="shared" si="0"/>
        <v>4</v>
      </c>
      <c r="R11" s="101">
        <f t="shared" si="4"/>
        <v>1.3142857142857132</v>
      </c>
      <c r="S11" s="97">
        <f t="shared" si="2"/>
        <v>0.32857142857142829</v>
      </c>
    </row>
    <row r="12" spans="2:19" ht="15.75" thickBot="1" x14ac:dyDescent="0.3">
      <c r="C12" s="45"/>
      <c r="D12" s="46"/>
      <c r="E12" s="44">
        <f>SUM(E6:E11)</f>
        <v>38</v>
      </c>
      <c r="H12" s="26"/>
      <c r="I12" s="35">
        <f>SUM(I6:I11)</f>
        <v>0.14289142857142859</v>
      </c>
      <c r="J12" s="35">
        <f t="shared" ref="J12:O12" si="5">SUM(J6:J11)</f>
        <v>0.16666666666666666</v>
      </c>
      <c r="K12" s="35">
        <f t="shared" si="5"/>
        <v>0.19047619047619047</v>
      </c>
      <c r="L12" s="35">
        <f t="shared" si="5"/>
        <v>0.14285714285714285</v>
      </c>
      <c r="M12" s="35">
        <f t="shared" si="5"/>
        <v>0.2142857142857143</v>
      </c>
      <c r="N12" s="35">
        <f t="shared" si="5"/>
        <v>0.14285714285714285</v>
      </c>
      <c r="O12" s="86">
        <f t="shared" si="5"/>
        <v>1.0000342857142857</v>
      </c>
      <c r="P12" s="73">
        <f>SUM(P6:P11)</f>
        <v>36.00102857142857</v>
      </c>
      <c r="Q12" s="74">
        <f t="shared" ref="Q12" si="6">SUM(Q6:Q11)</f>
        <v>38</v>
      </c>
      <c r="R12" s="96">
        <f t="shared" si="4"/>
        <v>-1.99897142857143</v>
      </c>
    </row>
    <row r="13" spans="2:19" x14ac:dyDescent="0.25">
      <c r="I13" s="1"/>
    </row>
    <row r="14" spans="2:19" ht="15.75" thickBot="1" x14ac:dyDescent="0.3"/>
    <row r="15" spans="2:19" ht="15.75" thickBot="1" x14ac:dyDescent="0.3">
      <c r="C15" s="27"/>
      <c r="D15" s="28" t="s">
        <v>19</v>
      </c>
      <c r="E15" s="28" t="s">
        <v>21</v>
      </c>
      <c r="F15" s="28" t="s">
        <v>23</v>
      </c>
      <c r="G15" s="28" t="s">
        <v>25</v>
      </c>
      <c r="H15" s="28" t="s">
        <v>27</v>
      </c>
      <c r="I15" s="28" t="s">
        <v>29</v>
      </c>
      <c r="N15" s="41"/>
    </row>
    <row r="16" spans="2:19" ht="30.75" thickBot="1" x14ac:dyDescent="0.3">
      <c r="C16" s="29" t="s">
        <v>39</v>
      </c>
      <c r="D16" s="83">
        <v>0.8</v>
      </c>
      <c r="E16" s="31"/>
      <c r="F16" s="30">
        <v>0.9</v>
      </c>
      <c r="G16" s="30">
        <v>0.3</v>
      </c>
      <c r="H16" s="31"/>
      <c r="I16" s="31"/>
      <c r="L16" s="19" t="s">
        <v>19</v>
      </c>
      <c r="M16" s="19" t="s">
        <v>20</v>
      </c>
      <c r="N16" s="20">
        <v>6</v>
      </c>
      <c r="O16" s="84">
        <f>N16/$N$22</f>
        <v>0.14285714285714285</v>
      </c>
    </row>
    <row r="17" spans="3:15" ht="44.45" customHeight="1" thickBot="1" x14ac:dyDescent="0.3">
      <c r="C17" s="29" t="s">
        <v>40</v>
      </c>
      <c r="D17" s="30">
        <v>0.2</v>
      </c>
      <c r="E17" s="30">
        <v>0.5</v>
      </c>
      <c r="F17" s="30">
        <v>0.1</v>
      </c>
      <c r="G17" s="30">
        <v>0.4</v>
      </c>
      <c r="H17" s="30"/>
      <c r="I17" s="30">
        <v>0.5</v>
      </c>
      <c r="L17" s="19" t="s">
        <v>21</v>
      </c>
      <c r="M17" s="19" t="s">
        <v>22</v>
      </c>
      <c r="N17" s="20">
        <v>7</v>
      </c>
      <c r="O17" s="85">
        <f t="shared" ref="O17:O20" si="7">N17/$N$22</f>
        <v>0.16666666666666666</v>
      </c>
    </row>
    <row r="18" spans="3:15" ht="30.75" thickBot="1" x14ac:dyDescent="0.3">
      <c r="C18" s="29" t="s">
        <v>41</v>
      </c>
      <c r="D18" s="31"/>
      <c r="E18" s="30">
        <v>0.3</v>
      </c>
      <c r="F18" s="31"/>
      <c r="G18" s="31"/>
      <c r="H18" s="30">
        <v>0.5</v>
      </c>
      <c r="I18" s="31"/>
      <c r="L18" s="19" t="s">
        <v>23</v>
      </c>
      <c r="M18" s="19" t="s">
        <v>24</v>
      </c>
      <c r="N18" s="20">
        <v>8</v>
      </c>
      <c r="O18" s="85">
        <f t="shared" si="7"/>
        <v>0.19047619047619047</v>
      </c>
    </row>
    <row r="19" spans="3:15" ht="15.75" thickBot="1" x14ac:dyDescent="0.3">
      <c r="C19" s="29" t="s">
        <v>42</v>
      </c>
      <c r="D19" s="31"/>
      <c r="E19" s="30"/>
      <c r="F19" s="31"/>
      <c r="G19" s="31"/>
      <c r="H19" s="30">
        <v>0.3</v>
      </c>
      <c r="I19" s="31"/>
      <c r="L19" s="19" t="s">
        <v>25</v>
      </c>
      <c r="M19" s="19" t="s">
        <v>26</v>
      </c>
      <c r="N19" s="20">
        <v>6</v>
      </c>
      <c r="O19" s="85">
        <f t="shared" si="7"/>
        <v>0.14285714285714285</v>
      </c>
    </row>
    <row r="20" spans="3:15" ht="30.75" thickBot="1" x14ac:dyDescent="0.3">
      <c r="C20" s="29" t="s">
        <v>43</v>
      </c>
      <c r="D20" s="31"/>
      <c r="E20" s="31"/>
      <c r="F20" s="31"/>
      <c r="G20" s="31"/>
      <c r="H20" s="30">
        <v>0.2</v>
      </c>
      <c r="I20" s="31"/>
      <c r="L20" s="19" t="s">
        <v>27</v>
      </c>
      <c r="M20" s="19" t="s">
        <v>28</v>
      </c>
      <c r="N20" s="20">
        <v>9</v>
      </c>
      <c r="O20" s="85">
        <f t="shared" si="7"/>
        <v>0.21428571428571427</v>
      </c>
    </row>
    <row r="21" spans="3:15" ht="15.75" thickBot="1" x14ac:dyDescent="0.3">
      <c r="C21" s="29" t="s">
        <v>44</v>
      </c>
      <c r="D21" s="31"/>
      <c r="E21" s="30">
        <v>0.2</v>
      </c>
      <c r="F21" s="31"/>
      <c r="G21" s="30">
        <v>0.3</v>
      </c>
      <c r="H21" s="30"/>
      <c r="I21" s="30">
        <v>0.5</v>
      </c>
      <c r="L21" s="19" t="s">
        <v>29</v>
      </c>
      <c r="M21" s="19" t="s">
        <v>30</v>
      </c>
      <c r="N21" s="20">
        <v>6</v>
      </c>
      <c r="O21" s="85">
        <f>N21/$N$22</f>
        <v>0.14285714285714285</v>
      </c>
    </row>
    <row r="22" spans="3:15" ht="15.75" thickBot="1" x14ac:dyDescent="0.3">
      <c r="C22" s="32"/>
      <c r="D22" s="30">
        <f>SUM(D16:D21)</f>
        <v>1</v>
      </c>
      <c r="E22" s="30">
        <f t="shared" ref="E22:I22" si="8">SUM(E16:E21)</f>
        <v>1</v>
      </c>
      <c r="F22" s="30">
        <f t="shared" si="8"/>
        <v>1</v>
      </c>
      <c r="G22" s="30">
        <f t="shared" si="8"/>
        <v>1</v>
      </c>
      <c r="H22" s="30">
        <f t="shared" si="8"/>
        <v>1</v>
      </c>
      <c r="I22" s="30">
        <f t="shared" si="8"/>
        <v>1</v>
      </c>
      <c r="L22" s="156" t="s">
        <v>2</v>
      </c>
      <c r="M22" s="157"/>
      <c r="N22" s="21">
        <f>SUM(N16:N21)</f>
        <v>42</v>
      </c>
      <c r="O22" s="22">
        <f>SUM(O16:O21)</f>
        <v>1</v>
      </c>
    </row>
    <row r="23" spans="3:15" x14ac:dyDescent="0.25">
      <c r="N23" s="41"/>
    </row>
  </sheetData>
  <mergeCells count="3">
    <mergeCell ref="L22:M22"/>
    <mergeCell ref="H4:N4"/>
    <mergeCell ref="D4:D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zoomScale="150" zoomScaleNormal="150" workbookViewId="0">
      <selection activeCell="K6" sqref="K6"/>
    </sheetView>
  </sheetViews>
  <sheetFormatPr baseColWidth="10" defaultRowHeight="15" x14ac:dyDescent="0.25"/>
  <cols>
    <col min="1" max="1" width="17.42578125" customWidth="1"/>
    <col min="2" max="5" width="16.28515625" bestFit="1" customWidth="1"/>
    <col min="6" max="6" width="17.5703125" customWidth="1"/>
    <col min="7" max="7" width="12.7109375" bestFit="1" customWidth="1"/>
  </cols>
  <sheetData>
    <row r="1" spans="1:10" x14ac:dyDescent="0.25">
      <c r="A1" s="2" t="s">
        <v>76</v>
      </c>
      <c r="B1" s="3" t="s">
        <v>77</v>
      </c>
      <c r="C1" s="3" t="s">
        <v>78</v>
      </c>
      <c r="D1" s="3" t="s">
        <v>79</v>
      </c>
      <c r="E1" s="3" t="s">
        <v>80</v>
      </c>
    </row>
    <row r="2" spans="1:10" x14ac:dyDescent="0.25">
      <c r="A2" s="2" t="s">
        <v>7</v>
      </c>
      <c r="B2" s="2">
        <v>800000</v>
      </c>
      <c r="C2" s="2">
        <v>1250000</v>
      </c>
      <c r="D2" s="2">
        <v>1400000</v>
      </c>
      <c r="E2" s="2">
        <v>900000</v>
      </c>
      <c r="F2" s="144">
        <f>SUM(B2:E2)</f>
        <v>4350000</v>
      </c>
    </row>
    <row r="3" spans="1:10" x14ac:dyDescent="0.25">
      <c r="A3" s="2" t="s">
        <v>81</v>
      </c>
      <c r="B3" s="5">
        <v>19</v>
      </c>
      <c r="C3" s="5">
        <v>16</v>
      </c>
      <c r="D3" s="5">
        <v>15</v>
      </c>
      <c r="E3" s="5">
        <v>15</v>
      </c>
      <c r="F3" s="13"/>
    </row>
    <row r="4" spans="1:10" x14ac:dyDescent="0.25">
      <c r="A4" s="2" t="s">
        <v>87</v>
      </c>
      <c r="B4" s="5">
        <f>B2*B3</f>
        <v>15200000</v>
      </c>
      <c r="C4" s="5">
        <f t="shared" ref="C4:E4" si="0">C2*C3</f>
        <v>20000000</v>
      </c>
      <c r="D4" s="5">
        <f t="shared" si="0"/>
        <v>21000000</v>
      </c>
      <c r="E4" s="5">
        <f t="shared" si="0"/>
        <v>13500000</v>
      </c>
      <c r="F4" s="143">
        <f>SUM(B4:E4)</f>
        <v>69700000</v>
      </c>
    </row>
    <row r="6" spans="1:10" x14ac:dyDescent="0.25">
      <c r="A6" s="2" t="s">
        <v>83</v>
      </c>
      <c r="B6" s="9">
        <v>4.8</v>
      </c>
    </row>
    <row r="7" spans="1:10" x14ac:dyDescent="0.25">
      <c r="A7" s="14" t="s">
        <v>84</v>
      </c>
      <c r="B7" s="110">
        <v>16.02</v>
      </c>
      <c r="C7" s="81" t="s">
        <v>103</v>
      </c>
    </row>
    <row r="8" spans="1:10" ht="21" x14ac:dyDescent="0.35">
      <c r="A8" s="145" t="s">
        <v>18</v>
      </c>
      <c r="B8" s="146">
        <f>B7-B6</f>
        <v>11.219999999999999</v>
      </c>
    </row>
    <row r="11" spans="1:10" x14ac:dyDescent="0.25">
      <c r="A11" s="162" t="s">
        <v>92</v>
      </c>
      <c r="B11" s="162"/>
      <c r="C11" s="162"/>
      <c r="D11" s="162"/>
      <c r="E11" s="162"/>
      <c r="F11" s="162"/>
      <c r="G11" s="162"/>
      <c r="H11" s="162"/>
      <c r="I11" s="162"/>
      <c r="J11" s="162"/>
    </row>
    <row r="12" spans="1:10" x14ac:dyDescent="0.25">
      <c r="A12" t="s">
        <v>91</v>
      </c>
      <c r="D12" s="15">
        <v>11.22</v>
      </c>
    </row>
    <row r="13" spans="1:10" x14ac:dyDescent="0.25">
      <c r="A13" t="s">
        <v>95</v>
      </c>
      <c r="B13" s="102">
        <f>B8*0.4</f>
        <v>4.4879999999999995</v>
      </c>
      <c r="C13" s="81" t="s">
        <v>99</v>
      </c>
    </row>
    <row r="14" spans="1:10" x14ac:dyDescent="0.25">
      <c r="A14" t="s">
        <v>94</v>
      </c>
      <c r="B14" s="102">
        <f>B8*0.6</f>
        <v>6.7319999999999993</v>
      </c>
      <c r="C14" s="81" t="s">
        <v>100</v>
      </c>
    </row>
    <row r="15" spans="1:10" x14ac:dyDescent="0.25">
      <c r="B15" s="13"/>
    </row>
    <row r="16" spans="1:10" x14ac:dyDescent="0.25">
      <c r="B16" s="2" t="s">
        <v>47</v>
      </c>
      <c r="C16" s="2" t="s">
        <v>68</v>
      </c>
      <c r="D16" s="2" t="s">
        <v>69</v>
      </c>
      <c r="E16" s="2" t="s">
        <v>70</v>
      </c>
      <c r="F16" s="2" t="s">
        <v>71</v>
      </c>
      <c r="G16" s="2" t="s">
        <v>72</v>
      </c>
      <c r="H16" s="2" t="s">
        <v>73</v>
      </c>
      <c r="I16" s="2" t="s">
        <v>74</v>
      </c>
      <c r="J16" s="2"/>
    </row>
    <row r="17" spans="1:10" x14ac:dyDescent="0.25">
      <c r="B17" s="2" t="s">
        <v>75</v>
      </c>
      <c r="C17" s="8">
        <v>0.25</v>
      </c>
      <c r="D17" s="8">
        <v>0.2</v>
      </c>
      <c r="E17" s="8">
        <v>0.1</v>
      </c>
      <c r="F17" s="8">
        <v>7.0000000000000007E-2</v>
      </c>
      <c r="G17" s="8">
        <v>0.22</v>
      </c>
      <c r="H17" s="8">
        <v>0.01</v>
      </c>
      <c r="I17" s="8">
        <v>0.15</v>
      </c>
      <c r="J17" s="8">
        <f t="shared" ref="J17:J18" si="1">SUM(C17:I17)</f>
        <v>1</v>
      </c>
    </row>
    <row r="18" spans="1:10" x14ac:dyDescent="0.25">
      <c r="B18" s="2" t="s">
        <v>0</v>
      </c>
      <c r="C18" s="8">
        <v>0.2</v>
      </c>
      <c r="D18" s="8">
        <v>0.15</v>
      </c>
      <c r="E18" s="8">
        <v>0.05</v>
      </c>
      <c r="F18" s="8">
        <v>7.0000000000000007E-2</v>
      </c>
      <c r="G18" s="8">
        <v>0.37</v>
      </c>
      <c r="H18" s="8">
        <v>0.01</v>
      </c>
      <c r="I18" s="8">
        <v>0.15</v>
      </c>
      <c r="J18" s="8">
        <f t="shared" si="1"/>
        <v>1</v>
      </c>
    </row>
    <row r="19" spans="1:10" x14ac:dyDescent="0.25">
      <c r="B19" s="13"/>
    </row>
    <row r="20" spans="1:10" x14ac:dyDescent="0.25">
      <c r="B20" s="2" t="s">
        <v>47</v>
      </c>
      <c r="C20" s="2" t="s">
        <v>68</v>
      </c>
      <c r="D20" s="2" t="s">
        <v>69</v>
      </c>
      <c r="E20" s="2" t="s">
        <v>70</v>
      </c>
      <c r="F20" s="2" t="s">
        <v>71</v>
      </c>
      <c r="G20" s="2" t="s">
        <v>72</v>
      </c>
      <c r="H20" s="2" t="s">
        <v>73</v>
      </c>
      <c r="I20" s="2" t="s">
        <v>74</v>
      </c>
      <c r="J20" s="2" t="s">
        <v>2</v>
      </c>
    </row>
    <row r="21" spans="1:10" x14ac:dyDescent="0.25">
      <c r="B21" s="2" t="s">
        <v>105</v>
      </c>
      <c r="C21" s="9">
        <f>C17*$B$13</f>
        <v>1.1219999999999999</v>
      </c>
      <c r="D21" s="9">
        <f t="shared" ref="D21:I21" si="2">D17*$B$13</f>
        <v>0.89759999999999995</v>
      </c>
      <c r="E21" s="9">
        <f t="shared" si="2"/>
        <v>0.44879999999999998</v>
      </c>
      <c r="F21" s="9">
        <f t="shared" si="2"/>
        <v>0.31415999999999999</v>
      </c>
      <c r="G21" s="9">
        <f t="shared" si="2"/>
        <v>0.9873599999999999</v>
      </c>
      <c r="H21" s="9">
        <f t="shared" si="2"/>
        <v>4.4879999999999996E-2</v>
      </c>
      <c r="I21" s="9">
        <f t="shared" si="2"/>
        <v>0.67319999999999991</v>
      </c>
      <c r="J21" s="66">
        <f t="shared" ref="J21:J22" si="3">SUM(C21:I21)</f>
        <v>4.4879999999999987</v>
      </c>
    </row>
    <row r="22" spans="1:10" x14ac:dyDescent="0.25">
      <c r="B22" s="2" t="s">
        <v>106</v>
      </c>
      <c r="C22" s="9">
        <f>$B$14*C18</f>
        <v>1.3464</v>
      </c>
      <c r="D22" s="9">
        <f t="shared" ref="D22:I22" si="4">$B$14*D18</f>
        <v>1.0097999999999998</v>
      </c>
      <c r="E22" s="9">
        <f t="shared" si="4"/>
        <v>0.33660000000000001</v>
      </c>
      <c r="F22" s="9">
        <f t="shared" si="4"/>
        <v>0.47123999999999999</v>
      </c>
      <c r="G22" s="9">
        <f t="shared" si="4"/>
        <v>2.4908399999999995</v>
      </c>
      <c r="H22" s="9">
        <f t="shared" si="4"/>
        <v>6.7319999999999991E-2</v>
      </c>
      <c r="I22" s="9">
        <f t="shared" si="4"/>
        <v>1.0097999999999998</v>
      </c>
      <c r="J22" s="66">
        <f t="shared" si="3"/>
        <v>6.7319999999999993</v>
      </c>
    </row>
    <row r="23" spans="1:10" x14ac:dyDescent="0.25">
      <c r="B23" s="13" t="s">
        <v>96</v>
      </c>
      <c r="C23" s="91">
        <f>+C21+C22</f>
        <v>2.4683999999999999</v>
      </c>
      <c r="D23" s="91">
        <f t="shared" ref="D23:J23" si="5">+D21+D22</f>
        <v>1.9073999999999998</v>
      </c>
      <c r="E23" s="91">
        <f t="shared" si="5"/>
        <v>0.78539999999999999</v>
      </c>
      <c r="F23" s="91">
        <f t="shared" si="5"/>
        <v>0.78539999999999999</v>
      </c>
      <c r="G23" s="91">
        <f t="shared" si="5"/>
        <v>3.4781999999999993</v>
      </c>
      <c r="H23" s="91">
        <f t="shared" si="5"/>
        <v>0.11219999999999999</v>
      </c>
      <c r="I23" s="91">
        <f t="shared" si="5"/>
        <v>1.6829999999999998</v>
      </c>
      <c r="J23" s="91">
        <f t="shared" si="5"/>
        <v>11.219999999999999</v>
      </c>
    </row>
    <row r="24" spans="1:10" s="92" customFormat="1" x14ac:dyDescent="0.25">
      <c r="B24" s="93"/>
      <c r="C24" s="70"/>
      <c r="D24" s="70"/>
      <c r="E24" s="70"/>
      <c r="F24" s="70"/>
      <c r="G24" s="70"/>
      <c r="H24" s="70"/>
      <c r="I24" s="70"/>
      <c r="J24" s="70"/>
    </row>
    <row r="25" spans="1:10" x14ac:dyDescent="0.25">
      <c r="A25" s="162" t="s">
        <v>93</v>
      </c>
      <c r="B25" s="162"/>
      <c r="C25" s="162"/>
      <c r="D25" s="162"/>
      <c r="E25" s="162"/>
      <c r="F25" s="162"/>
      <c r="G25" s="162"/>
      <c r="H25" s="162"/>
      <c r="I25" s="162"/>
      <c r="J25" s="162"/>
    </row>
    <row r="26" spans="1:10" x14ac:dyDescent="0.25">
      <c r="B26" s="2" t="s">
        <v>47</v>
      </c>
      <c r="C26" s="2" t="s">
        <v>68</v>
      </c>
      <c r="D26" s="2" t="s">
        <v>69</v>
      </c>
      <c r="E26" s="2" t="s">
        <v>70</v>
      </c>
      <c r="F26" s="2" t="s">
        <v>71</v>
      </c>
      <c r="G26" s="2" t="s">
        <v>72</v>
      </c>
      <c r="H26" s="2" t="s">
        <v>73</v>
      </c>
      <c r="I26" s="2" t="s">
        <v>74</v>
      </c>
      <c r="J26" s="2"/>
    </row>
    <row r="27" spans="1:10" x14ac:dyDescent="0.25">
      <c r="A27" s="52">
        <v>0.4</v>
      </c>
      <c r="B27" s="2" t="s">
        <v>75</v>
      </c>
      <c r="C27" s="8">
        <v>0.25</v>
      </c>
      <c r="D27" s="8">
        <v>0.2</v>
      </c>
      <c r="E27" s="8">
        <v>0.1</v>
      </c>
      <c r="F27" s="8">
        <v>7.0000000000000007E-2</v>
      </c>
      <c r="G27" s="8">
        <v>0.22</v>
      </c>
      <c r="H27" s="8">
        <v>0.01</v>
      </c>
      <c r="I27" s="8">
        <v>0.15</v>
      </c>
      <c r="J27" s="8">
        <f t="shared" ref="J27:J28" si="6">SUM(C27:I27)</f>
        <v>1</v>
      </c>
    </row>
    <row r="28" spans="1:10" x14ac:dyDescent="0.25">
      <c r="A28" s="52">
        <v>0.6</v>
      </c>
      <c r="B28" s="2" t="s">
        <v>0</v>
      </c>
      <c r="C28" s="8">
        <v>0.2</v>
      </c>
      <c r="D28" s="8">
        <v>0.15</v>
      </c>
      <c r="E28" s="8">
        <v>0.05</v>
      </c>
      <c r="F28" s="8">
        <v>7.0000000000000007E-2</v>
      </c>
      <c r="G28" s="8">
        <v>0.37</v>
      </c>
      <c r="H28" s="8">
        <v>0.01</v>
      </c>
      <c r="I28" s="8">
        <v>0.15</v>
      </c>
      <c r="J28" s="8">
        <f t="shared" si="6"/>
        <v>1</v>
      </c>
    </row>
    <row r="30" spans="1:10" x14ac:dyDescent="0.25">
      <c r="B30" s="6" t="s">
        <v>85</v>
      </c>
      <c r="C30" s="75">
        <f>(25%*40%)+(20%*60%)</f>
        <v>0.22</v>
      </c>
      <c r="D30" s="76">
        <f t="shared" ref="D30:I30" si="7">(D27*$A$27)+(D28*$A$28)</f>
        <v>0.17</v>
      </c>
      <c r="E30" s="76">
        <f t="shared" si="7"/>
        <v>7.0000000000000007E-2</v>
      </c>
      <c r="F30" s="76">
        <f t="shared" si="7"/>
        <v>7.0000000000000007E-2</v>
      </c>
      <c r="G30" s="76">
        <f t="shared" si="7"/>
        <v>0.31</v>
      </c>
      <c r="H30" s="76">
        <f t="shared" si="7"/>
        <v>0.01</v>
      </c>
      <c r="I30" s="76">
        <f t="shared" si="7"/>
        <v>0.15</v>
      </c>
      <c r="J30" s="76">
        <f>SUM(C30:I30)</f>
        <v>1</v>
      </c>
    </row>
    <row r="31" spans="1:10" x14ac:dyDescent="0.25">
      <c r="B31" t="s">
        <v>96</v>
      </c>
      <c r="C31" s="90">
        <f>11.22*22%</f>
        <v>2.4684000000000004</v>
      </c>
      <c r="D31" s="90">
        <f t="shared" ref="D31:I31" si="8">11.22*D30</f>
        <v>1.9074000000000002</v>
      </c>
      <c r="E31" s="90">
        <f t="shared" si="8"/>
        <v>0.7854000000000001</v>
      </c>
      <c r="F31" s="90">
        <f t="shared" si="8"/>
        <v>0.7854000000000001</v>
      </c>
      <c r="G31" s="90">
        <f t="shared" si="8"/>
        <v>3.4782000000000002</v>
      </c>
      <c r="H31" s="90">
        <f t="shared" si="8"/>
        <v>0.11220000000000001</v>
      </c>
      <c r="I31" s="90">
        <f t="shared" si="8"/>
        <v>1.6830000000000001</v>
      </c>
      <c r="J31" s="90">
        <f>11.22*J30</f>
        <v>11.22</v>
      </c>
    </row>
    <row r="36" spans="1:10" x14ac:dyDescent="0.25">
      <c r="A36" t="s">
        <v>82</v>
      </c>
    </row>
    <row r="38" spans="1:10" x14ac:dyDescent="0.25">
      <c r="C38" s="2" t="s">
        <v>68</v>
      </c>
      <c r="D38" s="2" t="s">
        <v>69</v>
      </c>
      <c r="E38" s="2" t="s">
        <v>70</v>
      </c>
      <c r="F38" s="2" t="s">
        <v>71</v>
      </c>
      <c r="G38" s="2" t="s">
        <v>72</v>
      </c>
      <c r="H38" s="2" t="s">
        <v>73</v>
      </c>
      <c r="I38" s="2" t="s">
        <v>74</v>
      </c>
    </row>
    <row r="39" spans="1:10" x14ac:dyDescent="0.25">
      <c r="C39" s="9">
        <v>2.2999999999999998</v>
      </c>
      <c r="D39" s="9">
        <v>2</v>
      </c>
      <c r="E39" s="9">
        <v>0.6</v>
      </c>
      <c r="F39" s="9">
        <v>0.8</v>
      </c>
      <c r="G39" s="9">
        <v>3.8</v>
      </c>
      <c r="H39" s="9">
        <v>0.1</v>
      </c>
      <c r="I39" s="9">
        <v>2.5</v>
      </c>
    </row>
    <row r="41" spans="1:10" x14ac:dyDescent="0.25">
      <c r="B41" s="2" t="s">
        <v>60</v>
      </c>
      <c r="C41" s="3" t="s">
        <v>68</v>
      </c>
      <c r="D41" s="3" t="s">
        <v>69</v>
      </c>
      <c r="E41" s="3" t="s">
        <v>70</v>
      </c>
      <c r="F41" s="3" t="s">
        <v>71</v>
      </c>
      <c r="G41" s="3" t="s">
        <v>72</v>
      </c>
      <c r="H41" s="3" t="s">
        <v>73</v>
      </c>
      <c r="I41" s="103" t="s">
        <v>74</v>
      </c>
    </row>
    <row r="42" spans="1:10" x14ac:dyDescent="0.25">
      <c r="B42" s="2" t="s">
        <v>18</v>
      </c>
      <c r="C42" s="9">
        <f t="shared" ref="C42:I42" si="9">C30*$B$8</f>
        <v>2.4683999999999999</v>
      </c>
      <c r="D42" s="9">
        <f t="shared" si="9"/>
        <v>1.9074</v>
      </c>
      <c r="E42" s="9">
        <f t="shared" si="9"/>
        <v>0.78539999999999999</v>
      </c>
      <c r="F42" s="9">
        <f t="shared" si="9"/>
        <v>0.78539999999999999</v>
      </c>
      <c r="G42" s="9">
        <f t="shared" si="9"/>
        <v>3.4781999999999997</v>
      </c>
      <c r="H42" s="9">
        <v>0.11</v>
      </c>
      <c r="I42" s="104">
        <f t="shared" si="9"/>
        <v>1.6829999999999998</v>
      </c>
      <c r="J42" s="64">
        <f>SUM(C42:I42)</f>
        <v>11.217799999999999</v>
      </c>
    </row>
    <row r="43" spans="1:10" x14ac:dyDescent="0.25">
      <c r="B43" s="2" t="s">
        <v>86</v>
      </c>
      <c r="C43" s="9">
        <f t="shared" ref="C43:I43" si="10">C39</f>
        <v>2.2999999999999998</v>
      </c>
      <c r="D43" s="9">
        <f t="shared" si="10"/>
        <v>2</v>
      </c>
      <c r="E43" s="9">
        <f t="shared" si="10"/>
        <v>0.6</v>
      </c>
      <c r="F43" s="9">
        <f t="shared" si="10"/>
        <v>0.8</v>
      </c>
      <c r="G43" s="9">
        <f t="shared" si="10"/>
        <v>3.8</v>
      </c>
      <c r="H43" s="9">
        <f t="shared" si="10"/>
        <v>0.1</v>
      </c>
      <c r="I43" s="104">
        <f t="shared" si="10"/>
        <v>2.5</v>
      </c>
      <c r="J43" s="64">
        <f>SUM(C43:I43)</f>
        <v>12.1</v>
      </c>
    </row>
    <row r="44" spans="1:10" x14ac:dyDescent="0.25">
      <c r="B44" s="2"/>
      <c r="C44" s="77"/>
      <c r="D44" s="78"/>
      <c r="E44" s="77"/>
      <c r="F44" s="78"/>
      <c r="G44" s="78"/>
      <c r="H44" s="77"/>
      <c r="I44" s="78"/>
      <c r="J44" s="108">
        <f>J42-J43</f>
        <v>-0.88220000000000098</v>
      </c>
    </row>
    <row r="45" spans="1:10" x14ac:dyDescent="0.25">
      <c r="B45" s="2" t="s">
        <v>4</v>
      </c>
      <c r="C45" s="14">
        <f>C43-C42</f>
        <v>-0.16840000000000011</v>
      </c>
      <c r="D45" s="14">
        <f t="shared" ref="D45:I45" si="11">D43-D42</f>
        <v>9.2600000000000016E-2</v>
      </c>
      <c r="E45" s="14">
        <f t="shared" si="11"/>
        <v>-0.18540000000000001</v>
      </c>
      <c r="F45" s="14">
        <f t="shared" si="11"/>
        <v>1.4600000000000057E-2</v>
      </c>
      <c r="G45" s="14">
        <f t="shared" si="11"/>
        <v>0.32180000000000009</v>
      </c>
      <c r="H45" s="14">
        <f t="shared" si="11"/>
        <v>-9.999999999999995E-3</v>
      </c>
      <c r="I45" s="105">
        <f t="shared" si="11"/>
        <v>0.81700000000000017</v>
      </c>
      <c r="J45" s="64">
        <f>SUM(C45:I45)</f>
        <v>0.88220000000000021</v>
      </c>
    </row>
    <row r="46" spans="1:10" x14ac:dyDescent="0.25">
      <c r="B46" s="2" t="s">
        <v>90</v>
      </c>
      <c r="C46" s="71">
        <f>C45/C42</f>
        <v>-6.8222330254415861E-2</v>
      </c>
      <c r="D46" s="71">
        <f t="shared" ref="D46:I46" si="12">D45/D42</f>
        <v>4.8547761350529524E-2</v>
      </c>
      <c r="E46" s="71">
        <f t="shared" si="12"/>
        <v>-0.23605805958747136</v>
      </c>
      <c r="F46" s="71">
        <f t="shared" si="12"/>
        <v>1.8589253883371605E-2</v>
      </c>
      <c r="G46" s="71">
        <f t="shared" si="12"/>
        <v>9.2519119084584017E-2</v>
      </c>
      <c r="H46" s="71">
        <f t="shared" si="12"/>
        <v>-9.090909090909087E-2</v>
      </c>
      <c r="I46" s="106">
        <f t="shared" si="12"/>
        <v>0.48544266191325031</v>
      </c>
    </row>
    <row r="50" spans="1:12" x14ac:dyDescent="0.25">
      <c r="A50" t="s">
        <v>83</v>
      </c>
      <c r="B50" s="1">
        <v>4.8</v>
      </c>
    </row>
    <row r="51" spans="1:12" x14ac:dyDescent="0.25">
      <c r="A51" s="54" t="s">
        <v>84</v>
      </c>
      <c r="B51" s="111">
        <f>B7-0.2</f>
        <v>15.82</v>
      </c>
    </row>
    <row r="52" spans="1:12" x14ac:dyDescent="0.25">
      <c r="A52" t="s">
        <v>18</v>
      </c>
      <c r="B52" s="13">
        <f>B51-B50</f>
        <v>11.02</v>
      </c>
      <c r="L52">
        <v>0.88</v>
      </c>
    </row>
    <row r="53" spans="1:12" x14ac:dyDescent="0.25">
      <c r="L53">
        <f>(0.9-0.2)</f>
        <v>0.7</v>
      </c>
    </row>
    <row r="54" spans="1:12" x14ac:dyDescent="0.25">
      <c r="L54">
        <f>L52-L53</f>
        <v>0.18000000000000005</v>
      </c>
    </row>
    <row r="55" spans="1:12" x14ac:dyDescent="0.25">
      <c r="B55" s="2" t="s">
        <v>60</v>
      </c>
      <c r="C55" s="3" t="s">
        <v>68</v>
      </c>
      <c r="D55" s="3" t="s">
        <v>69</v>
      </c>
      <c r="E55" s="3" t="s">
        <v>70</v>
      </c>
      <c r="F55" s="3" t="s">
        <v>71</v>
      </c>
      <c r="G55" s="3" t="s">
        <v>72</v>
      </c>
      <c r="H55" s="3" t="s">
        <v>73</v>
      </c>
      <c r="I55" s="3" t="s">
        <v>74</v>
      </c>
      <c r="J55" s="2"/>
    </row>
    <row r="56" spans="1:12" x14ac:dyDescent="0.25">
      <c r="B56" s="2" t="s">
        <v>18</v>
      </c>
      <c r="C56" s="9">
        <f t="shared" ref="C56:I56" si="13">$B$52*C30</f>
        <v>2.4243999999999999</v>
      </c>
      <c r="D56" s="9">
        <f t="shared" si="13"/>
        <v>1.8734</v>
      </c>
      <c r="E56" s="9">
        <f t="shared" si="13"/>
        <v>0.77140000000000009</v>
      </c>
      <c r="F56" s="9">
        <f t="shared" si="13"/>
        <v>0.77140000000000009</v>
      </c>
      <c r="G56" s="9">
        <f t="shared" si="13"/>
        <v>3.4161999999999999</v>
      </c>
      <c r="H56" s="9">
        <f t="shared" si="13"/>
        <v>0.11019999999999999</v>
      </c>
      <c r="I56" s="9">
        <f t="shared" si="13"/>
        <v>1.6529999999999998</v>
      </c>
      <c r="J56" s="14">
        <f>SUM(C56:I56)</f>
        <v>11.02</v>
      </c>
    </row>
    <row r="57" spans="1:12" x14ac:dyDescent="0.25">
      <c r="B57" s="2" t="s">
        <v>86</v>
      </c>
      <c r="C57" s="9">
        <f t="shared" ref="C57:H57" si="14">C43</f>
        <v>2.2999999999999998</v>
      </c>
      <c r="D57" s="9">
        <f t="shared" si="14"/>
        <v>2</v>
      </c>
      <c r="E57" s="9">
        <f t="shared" si="14"/>
        <v>0.6</v>
      </c>
      <c r="F57" s="9">
        <f t="shared" si="14"/>
        <v>0.8</v>
      </c>
      <c r="G57" s="9">
        <f t="shared" si="14"/>
        <v>3.8</v>
      </c>
      <c r="H57" s="9">
        <f t="shared" si="14"/>
        <v>0.1</v>
      </c>
      <c r="I57" s="107">
        <v>1.6</v>
      </c>
      <c r="J57" s="14">
        <f>SUM(C57:I57)</f>
        <v>11.2</v>
      </c>
    </row>
    <row r="58" spans="1:12" x14ac:dyDescent="0.25">
      <c r="B58" s="2"/>
      <c r="C58" s="77"/>
      <c r="D58" s="78"/>
      <c r="E58" s="77"/>
      <c r="F58" s="78"/>
      <c r="G58" s="78"/>
      <c r="H58" s="77"/>
      <c r="I58" s="77"/>
      <c r="J58" s="109">
        <f>J56-J57</f>
        <v>-0.17999999999999972</v>
      </c>
    </row>
    <row r="59" spans="1:12" x14ac:dyDescent="0.25">
      <c r="C59" s="14">
        <f>C57-C56</f>
        <v>-0.12440000000000007</v>
      </c>
      <c r="D59" s="14">
        <f t="shared" ref="D59:I59" si="15">D57-D56</f>
        <v>0.12660000000000005</v>
      </c>
      <c r="E59" s="14">
        <f t="shared" si="15"/>
        <v>-0.17140000000000011</v>
      </c>
      <c r="F59" s="14">
        <f t="shared" si="15"/>
        <v>2.8599999999999959E-2</v>
      </c>
      <c r="G59" s="14">
        <f t="shared" si="15"/>
        <v>0.38379999999999992</v>
      </c>
      <c r="H59" s="14">
        <f t="shared" si="15"/>
        <v>-1.0199999999999987E-2</v>
      </c>
      <c r="I59" s="14">
        <f t="shared" si="15"/>
        <v>-5.2999999999999714E-2</v>
      </c>
      <c r="J59" s="13">
        <f>SUM(C59:I59)</f>
        <v>0.18000000000000005</v>
      </c>
    </row>
    <row r="60" spans="1:12" x14ac:dyDescent="0.25">
      <c r="C60" s="71">
        <f>C59/C56</f>
        <v>-5.1311664741791815E-2</v>
      </c>
      <c r="D60" s="71">
        <f t="shared" ref="D60:I60" si="16">D59/D56</f>
        <v>6.7577666275221548E-2</v>
      </c>
      <c r="E60" s="71">
        <f t="shared" si="16"/>
        <v>-0.22219341457091016</v>
      </c>
      <c r="F60" s="71">
        <f t="shared" si="16"/>
        <v>3.7075447238786564E-2</v>
      </c>
      <c r="G60" s="71">
        <f t="shared" si="16"/>
        <v>0.11234705228031144</v>
      </c>
      <c r="H60" s="71">
        <f t="shared" si="16"/>
        <v>-9.2558983666061592E-2</v>
      </c>
      <c r="I60" s="71">
        <f t="shared" si="16"/>
        <v>-3.2062915910465652E-2</v>
      </c>
    </row>
    <row r="63" spans="1:12" x14ac:dyDescent="0.25">
      <c r="A63" t="s">
        <v>107</v>
      </c>
      <c r="B63">
        <f>16.02-0.2</f>
        <v>15.82</v>
      </c>
    </row>
    <row r="64" spans="1:12" x14ac:dyDescent="0.25">
      <c r="A64" t="s">
        <v>108</v>
      </c>
      <c r="B64">
        <f>12.1-0.9</f>
        <v>11.2</v>
      </c>
    </row>
    <row r="65" spans="1:2" x14ac:dyDescent="0.25">
      <c r="A65" t="s">
        <v>109</v>
      </c>
      <c r="B65">
        <f>B63-B64</f>
        <v>4.620000000000001</v>
      </c>
    </row>
    <row r="66" spans="1:2" x14ac:dyDescent="0.25">
      <c r="A66" t="s">
        <v>110</v>
      </c>
      <c r="B66">
        <v>4.8</v>
      </c>
    </row>
    <row r="67" spans="1:2" x14ac:dyDescent="0.25">
      <c r="B67">
        <f>B65-B66</f>
        <v>-0.17999999999999883</v>
      </c>
    </row>
  </sheetData>
  <mergeCells count="2">
    <mergeCell ref="A11:J11"/>
    <mergeCell ref="A25:J2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Exo 1</vt:lpstr>
      <vt:lpstr>Feuil1</vt:lpstr>
      <vt:lpstr>Exo 2</vt:lpstr>
      <vt:lpstr>Exo 3</vt:lpstr>
      <vt:lpstr>Exo Complémentaire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2019-10-30T15:29:15Z</dcterms:created>
  <dcterms:modified xsi:type="dcterms:W3CDTF">2022-12-05T10:07:58Z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e2bedf20-cb07-453d-b0bf-fe8d9ed394d5</vt:lpwstr>
  </property>
</Properties>
</file>