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BRETIGNY GEA/BUT/Cours BUT2/GEMA/R3 GEMA12 - Financement des activités/R3 GEMA 12 Chapitre 2/"/>
    </mc:Choice>
  </mc:AlternateContent>
  <xr:revisionPtr revIDLastSave="3" documentId="8_{69721F6C-D8EC-446D-9DFD-FBFED307E904}" xr6:coauthVersionLast="36" xr6:coauthVersionMax="36" xr10:uidLastSave="{84A94B3C-1000-4AE5-A027-9E962FC60A18}"/>
  <bookViews>
    <workbookView xWindow="0" yWindow="0" windowWidth="25200" windowHeight="11475" xr2:uid="{2F688460-B814-4EC8-9D88-B2C16C967FAD}"/>
  </bookViews>
  <sheets>
    <sheet name="Exercice 1 " sheetId="1" r:id="rId1"/>
    <sheet name="Exercice 2" sheetId="2" r:id="rId2"/>
    <sheet name="Exercice 3" sheetId="3" r:id="rId3"/>
    <sheet name="Exercice 4" sheetId="4" r:id="rId4"/>
    <sheet name="Exercice 5" sheetId="5" r:id="rId5"/>
    <sheet name="Exercice synthèse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6" l="1"/>
  <c r="F28" i="6"/>
  <c r="E28" i="6"/>
  <c r="D28" i="6"/>
  <c r="C28" i="6"/>
  <c r="B27" i="6"/>
  <c r="B28" i="6" s="1"/>
  <c r="B29" i="6" s="1"/>
  <c r="B25" i="6"/>
  <c r="I22" i="6"/>
  <c r="B14" i="6"/>
  <c r="F13" i="6"/>
  <c r="E13" i="6"/>
  <c r="D13" i="6"/>
  <c r="C13" i="6"/>
  <c r="B13" i="6"/>
  <c r="F12" i="6"/>
  <c r="E12" i="6"/>
  <c r="D12" i="6"/>
  <c r="C12" i="6"/>
  <c r="B12" i="6"/>
  <c r="B15" i="6" l="1"/>
  <c r="B16" i="6" s="1"/>
  <c r="B17" i="6" s="1"/>
  <c r="B18" i="6" s="1"/>
  <c r="C23" i="6" s="1"/>
  <c r="C25" i="6" s="1"/>
  <c r="C29" i="6" s="1"/>
  <c r="B30" i="6"/>
  <c r="E15" i="6"/>
  <c r="C14" i="6"/>
  <c r="D14" i="6" s="1"/>
  <c r="E14" i="6" s="1"/>
  <c r="F14" i="6" s="1"/>
  <c r="F15" i="6" s="1"/>
  <c r="G12" i="6"/>
  <c r="C15" i="6" l="1"/>
  <c r="C30" i="6"/>
  <c r="F16" i="6"/>
  <c r="F17" i="6"/>
  <c r="F18" i="6" s="1"/>
  <c r="G23" i="6" s="1"/>
  <c r="C16" i="6"/>
  <c r="C17" i="6" s="1"/>
  <c r="C18" i="6" s="1"/>
  <c r="D23" i="6" s="1"/>
  <c r="D25" i="6" s="1"/>
  <c r="D29" i="6" s="1"/>
  <c r="E16" i="6"/>
  <c r="E17" i="6" s="1"/>
  <c r="E18" i="6" s="1"/>
  <c r="F23" i="6" s="1"/>
  <c r="F25" i="6" s="1"/>
  <c r="F29" i="6" s="1"/>
  <c r="F30" i="6" s="1"/>
  <c r="I23" i="6"/>
  <c r="I24" i="6" s="1"/>
  <c r="G24" i="6" s="1"/>
  <c r="D15" i="6"/>
  <c r="G25" i="6" l="1"/>
  <c r="G29" i="6" s="1"/>
  <c r="G30" i="6" s="1"/>
  <c r="D30" i="6"/>
  <c r="D16" i="6"/>
  <c r="D17" i="6"/>
  <c r="D18" i="6" s="1"/>
  <c r="E23" i="6" s="1"/>
  <c r="E25" i="6" s="1"/>
  <c r="E29" i="6" s="1"/>
  <c r="E30" i="6" s="1"/>
  <c r="B36" i="6" l="1"/>
  <c r="B34" i="6"/>
  <c r="B33" i="6"/>
  <c r="O38" i="5" l="1"/>
  <c r="K22" i="5"/>
  <c r="L22" i="5"/>
  <c r="M22" i="5"/>
  <c r="N22" i="5"/>
  <c r="J22" i="5"/>
  <c r="K17" i="5"/>
  <c r="L17" i="5"/>
  <c r="M17" i="5"/>
  <c r="N17" i="5"/>
  <c r="J17" i="5"/>
  <c r="O37" i="5"/>
  <c r="F21" i="5"/>
  <c r="D21" i="5"/>
  <c r="E21" i="5"/>
  <c r="C21" i="5"/>
  <c r="B21" i="5"/>
  <c r="G37" i="5"/>
  <c r="I3" i="5"/>
  <c r="F15" i="5"/>
  <c r="F17" i="5" s="1"/>
  <c r="E15" i="5"/>
  <c r="E17" i="5" s="1"/>
  <c r="D15" i="5"/>
  <c r="D17" i="5" s="1"/>
  <c r="C15" i="5"/>
  <c r="K15" i="5" s="1"/>
  <c r="C17" i="5"/>
  <c r="B17" i="5"/>
  <c r="B16" i="5"/>
  <c r="J16" i="5" s="1"/>
  <c r="K16" i="5" s="1"/>
  <c r="L16" i="5" s="1"/>
  <c r="M16" i="5" s="1"/>
  <c r="N16" i="5" s="1"/>
  <c r="B15" i="5"/>
  <c r="J15" i="5" s="1"/>
  <c r="J47" i="5"/>
  <c r="N44" i="5"/>
  <c r="M44" i="5"/>
  <c r="L44" i="5"/>
  <c r="K44" i="5"/>
  <c r="O43" i="5"/>
  <c r="O44" i="5" s="1"/>
  <c r="N43" i="5"/>
  <c r="M43" i="5"/>
  <c r="E43" i="5"/>
  <c r="D43" i="5"/>
  <c r="C43" i="5"/>
  <c r="G42" i="5"/>
  <c r="G43" i="5" s="1"/>
  <c r="F42" i="5"/>
  <c r="F43" i="5" s="1"/>
  <c r="E42" i="5"/>
  <c r="B41" i="5"/>
  <c r="B43" i="5" s="1"/>
  <c r="J40" i="5"/>
  <c r="B39" i="5"/>
  <c r="B44" i="5" s="1"/>
  <c r="N14" i="5"/>
  <c r="J14" i="5"/>
  <c r="F14" i="5"/>
  <c r="E14" i="5"/>
  <c r="M14" i="5" s="1"/>
  <c r="D14" i="5"/>
  <c r="C14" i="5"/>
  <c r="B14" i="5"/>
  <c r="N15" i="5" l="1"/>
  <c r="M15" i="5"/>
  <c r="M18" i="5" s="1"/>
  <c r="M19" i="5" s="1"/>
  <c r="L15" i="5"/>
  <c r="N20" i="5"/>
  <c r="O36" i="5" s="1"/>
  <c r="C16" i="5"/>
  <c r="D16" i="5" s="1"/>
  <c r="E16" i="5" s="1"/>
  <c r="B18" i="5"/>
  <c r="B20" i="5" s="1"/>
  <c r="C36" i="5" s="1"/>
  <c r="C39" i="5" s="1"/>
  <c r="C44" i="5" s="1"/>
  <c r="J20" i="5"/>
  <c r="J21" i="5" s="1"/>
  <c r="B45" i="5"/>
  <c r="K14" i="5"/>
  <c r="J42" i="5"/>
  <c r="J44" i="5" s="1"/>
  <c r="J45" i="5" s="1"/>
  <c r="L14" i="5"/>
  <c r="K36" i="5" l="1"/>
  <c r="K40" i="5" s="1"/>
  <c r="K45" i="5" s="1"/>
  <c r="K46" i="5" s="1"/>
  <c r="N18" i="5"/>
  <c r="D19" i="5"/>
  <c r="D20" i="5" s="1"/>
  <c r="E36" i="5" s="1"/>
  <c r="E39" i="5" s="1"/>
  <c r="E44" i="5" s="1"/>
  <c r="C45" i="5"/>
  <c r="L18" i="5"/>
  <c r="L19" i="5" s="1"/>
  <c r="L20" i="5" s="1"/>
  <c r="M36" i="5" s="1"/>
  <c r="M40" i="5" s="1"/>
  <c r="M45" i="5" s="1"/>
  <c r="M46" i="5" s="1"/>
  <c r="M20" i="5"/>
  <c r="N36" i="5" s="1"/>
  <c r="N40" i="5" s="1"/>
  <c r="N45" i="5" s="1"/>
  <c r="N46" i="5" s="1"/>
  <c r="F16" i="5"/>
  <c r="O40" i="5" s="1"/>
  <c r="O45" i="5" s="1"/>
  <c r="O46" i="5" s="1"/>
  <c r="J46" i="5"/>
  <c r="K18" i="5"/>
  <c r="K19" i="5" s="1"/>
  <c r="K20" i="5" s="1"/>
  <c r="L36" i="5" s="1"/>
  <c r="L40" i="5" s="1"/>
  <c r="L45" i="5" s="1"/>
  <c r="C19" i="5" l="1"/>
  <c r="C20" i="5" s="1"/>
  <c r="D36" i="5" s="1"/>
  <c r="D39" i="5" s="1"/>
  <c r="D44" i="5" s="1"/>
  <c r="D45" i="5" s="1"/>
  <c r="E45" i="5"/>
  <c r="L46" i="5"/>
  <c r="J48" i="5" s="1"/>
  <c r="J49" i="5"/>
  <c r="E19" i="5"/>
  <c r="E20" i="5"/>
  <c r="F36" i="5" s="1"/>
  <c r="F39" i="5" s="1"/>
  <c r="F44" i="5" s="1"/>
  <c r="F45" i="5" s="1"/>
  <c r="F18" i="5" l="1"/>
  <c r="F20" i="5" s="1"/>
  <c r="G36" i="5" s="1"/>
  <c r="G39" i="5" s="1"/>
  <c r="G44" i="5" s="1"/>
  <c r="G45" i="5" l="1"/>
  <c r="B48" i="5" s="1"/>
  <c r="B49" i="5"/>
  <c r="E29" i="4" l="1"/>
  <c r="D29" i="4"/>
  <c r="C29" i="4"/>
  <c r="B29" i="4"/>
  <c r="E28" i="4"/>
  <c r="B27" i="4"/>
  <c r="B24" i="4"/>
  <c r="B25" i="4" s="1"/>
  <c r="B30" i="4" s="1"/>
  <c r="E23" i="4"/>
  <c r="D12" i="4"/>
  <c r="C12" i="4"/>
  <c r="B12" i="4"/>
  <c r="C11" i="4"/>
  <c r="B11" i="4"/>
  <c r="D10" i="4"/>
  <c r="C10" i="4"/>
  <c r="C13" i="4" s="1"/>
  <c r="B10" i="4"/>
  <c r="B13" i="4" s="1"/>
  <c r="D6" i="4"/>
  <c r="D11" i="4" s="1"/>
  <c r="D13" i="4" s="1"/>
  <c r="B6" i="4"/>
  <c r="B27" i="3"/>
  <c r="B80" i="3"/>
  <c r="B79" i="3"/>
  <c r="B45" i="3"/>
  <c r="B10" i="3"/>
  <c r="C10" i="3" s="1"/>
  <c r="D10" i="3" s="1"/>
  <c r="B9" i="3"/>
  <c r="G61" i="3"/>
  <c r="F61" i="3"/>
  <c r="E61" i="3"/>
  <c r="D61" i="3"/>
  <c r="C61" i="3"/>
  <c r="B59" i="3"/>
  <c r="B57" i="3"/>
  <c r="B46" i="3"/>
  <c r="C46" i="3" s="1"/>
  <c r="D46" i="3" s="1"/>
  <c r="E46" i="3" s="1"/>
  <c r="F46" i="3" s="1"/>
  <c r="C45" i="3"/>
  <c r="C44" i="3"/>
  <c r="B44" i="3"/>
  <c r="D40" i="3"/>
  <c r="D45" i="3" s="1"/>
  <c r="G28" i="3"/>
  <c r="F28" i="3"/>
  <c r="E28" i="3"/>
  <c r="D28" i="3"/>
  <c r="C28" i="3"/>
  <c r="B26" i="3"/>
  <c r="B24" i="3"/>
  <c r="C9" i="3"/>
  <c r="C8" i="3"/>
  <c r="B8" i="3"/>
  <c r="D4" i="3"/>
  <c r="D8" i="3" s="1"/>
  <c r="B15" i="2"/>
  <c r="C15" i="2" s="1"/>
  <c r="D15" i="2" s="1"/>
  <c r="D14" i="2"/>
  <c r="D26" i="2" s="1"/>
  <c r="C14" i="2"/>
  <c r="C26" i="2" s="1"/>
  <c r="B14" i="2"/>
  <c r="B26" i="2" s="1"/>
  <c r="D13" i="2"/>
  <c r="D25" i="2" s="1"/>
  <c r="C13" i="2"/>
  <c r="C25" i="2" s="1"/>
  <c r="B13" i="2"/>
  <c r="B25" i="2" s="1"/>
  <c r="B14" i="4" l="1"/>
  <c r="B16" i="4" s="1"/>
  <c r="B17" i="4" s="1"/>
  <c r="C22" i="4" s="1"/>
  <c r="C25" i="4" s="1"/>
  <c r="C30" i="4" s="1"/>
  <c r="C15" i="4"/>
  <c r="C16" i="4" s="1"/>
  <c r="C17" i="4" s="1"/>
  <c r="D22" i="4" s="1"/>
  <c r="D25" i="4" s="1"/>
  <c r="D30" i="4" s="1"/>
  <c r="D31" i="4" s="1"/>
  <c r="D15" i="4"/>
  <c r="D16" i="4" s="1"/>
  <c r="D17" i="4" s="1"/>
  <c r="E22" i="4" s="1"/>
  <c r="E25" i="4" s="1"/>
  <c r="E30" i="4" s="1"/>
  <c r="E31" i="4" s="1"/>
  <c r="B31" i="4"/>
  <c r="B28" i="3"/>
  <c r="B29" i="3" s="1"/>
  <c r="B30" i="3" s="1"/>
  <c r="B47" i="3"/>
  <c r="B48" i="3" s="1"/>
  <c r="B49" i="3" s="1"/>
  <c r="B50" i="3" s="1"/>
  <c r="C54" i="3" s="1"/>
  <c r="C57" i="3" s="1"/>
  <c r="C62" i="3" s="1"/>
  <c r="C63" i="3" s="1"/>
  <c r="B77" i="3" s="1"/>
  <c r="E40" i="3"/>
  <c r="E45" i="3" s="1"/>
  <c r="E4" i="3"/>
  <c r="E8" i="3" s="1"/>
  <c r="C47" i="3"/>
  <c r="C48" i="3" s="1"/>
  <c r="C49" i="3" s="1"/>
  <c r="C50" i="3" s="1"/>
  <c r="D54" i="3" s="1"/>
  <c r="D57" i="3" s="1"/>
  <c r="D62" i="3" s="1"/>
  <c r="D63" i="3" s="1"/>
  <c r="C11" i="3"/>
  <c r="C12" i="3" s="1"/>
  <c r="C13" i="3" s="1"/>
  <c r="C14" i="3" s="1"/>
  <c r="D21" i="3" s="1"/>
  <c r="D24" i="3" s="1"/>
  <c r="D29" i="3" s="1"/>
  <c r="D30" i="3" s="1"/>
  <c r="E10" i="3"/>
  <c r="F10" i="3" s="1"/>
  <c r="B60" i="3"/>
  <c r="G23" i="3"/>
  <c r="D44" i="3"/>
  <c r="D47" i="3" s="1"/>
  <c r="E44" i="3"/>
  <c r="E47" i="3" s="1"/>
  <c r="D9" i="3"/>
  <c r="D11" i="3" s="1"/>
  <c r="B11" i="3"/>
  <c r="F40" i="3"/>
  <c r="B27" i="2"/>
  <c r="C27" i="2" s="1"/>
  <c r="D27" i="2" s="1"/>
  <c r="D16" i="2"/>
  <c r="B28" i="2"/>
  <c r="B31" i="2" s="1"/>
  <c r="B33" i="2" s="1"/>
  <c r="D18" i="2"/>
  <c r="D19" i="2"/>
  <c r="D20" i="2" s="1"/>
  <c r="D28" i="2"/>
  <c r="B32" i="2"/>
  <c r="B16" i="2"/>
  <c r="C16" i="2"/>
  <c r="C31" i="4" l="1"/>
  <c r="B34" i="4" s="1"/>
  <c r="B35" i="4"/>
  <c r="E11" i="3"/>
  <c r="E12" i="3" s="1"/>
  <c r="E13" i="3" s="1"/>
  <c r="E14" i="3" s="1"/>
  <c r="F21" i="3" s="1"/>
  <c r="F24" i="3" s="1"/>
  <c r="F29" i="3" s="1"/>
  <c r="F30" i="3" s="1"/>
  <c r="E9" i="3"/>
  <c r="F4" i="3"/>
  <c r="F9" i="3" s="1"/>
  <c r="B78" i="3"/>
  <c r="D48" i="3"/>
  <c r="D49" i="3" s="1"/>
  <c r="D50" i="3" s="1"/>
  <c r="E54" i="3" s="1"/>
  <c r="E57" i="3" s="1"/>
  <c r="E62" i="3" s="1"/>
  <c r="E63" i="3" s="1"/>
  <c r="B61" i="3"/>
  <c r="B62" i="3" s="1"/>
  <c r="G56" i="3"/>
  <c r="F45" i="3"/>
  <c r="F44" i="3"/>
  <c r="E48" i="3"/>
  <c r="E49" i="3" s="1"/>
  <c r="E50" i="3" s="1"/>
  <c r="F54" i="3" s="1"/>
  <c r="F57" i="3" s="1"/>
  <c r="F62" i="3" s="1"/>
  <c r="F63" i="3" s="1"/>
  <c r="D12" i="3"/>
  <c r="D13" i="3"/>
  <c r="D14" i="3" s="1"/>
  <c r="E21" i="3" s="1"/>
  <c r="E24" i="3" s="1"/>
  <c r="E29" i="3" s="1"/>
  <c r="E30" i="3" s="1"/>
  <c r="B12" i="3"/>
  <c r="B13" i="3"/>
  <c r="B14" i="3" s="1"/>
  <c r="F8" i="3"/>
  <c r="G22" i="3"/>
  <c r="C28" i="2"/>
  <c r="C29" i="2" s="1"/>
  <c r="C30" i="2" s="1"/>
  <c r="C31" i="2" s="1"/>
  <c r="C33" i="2" s="1"/>
  <c r="B17" i="2"/>
  <c r="B19" i="2" s="1"/>
  <c r="B20" i="2" s="1"/>
  <c r="D29" i="2"/>
  <c r="D30" i="2" s="1"/>
  <c r="D31" i="2" s="1"/>
  <c r="D33" i="2" s="1"/>
  <c r="C18" i="2"/>
  <c r="C19" i="2" s="1"/>
  <c r="C20" i="2" s="1"/>
  <c r="F47" i="3" l="1"/>
  <c r="F48" i="3" s="1"/>
  <c r="F49" i="3" s="1"/>
  <c r="F50" i="3" s="1"/>
  <c r="G54" i="3" s="1"/>
  <c r="G57" i="3" s="1"/>
  <c r="G62" i="3" s="1"/>
  <c r="B73" i="3" s="1"/>
  <c r="F11" i="3"/>
  <c r="C21" i="3"/>
  <c r="C24" i="3" s="1"/>
  <c r="C29" i="3" s="1"/>
  <c r="B63" i="3"/>
  <c r="G63" i="3" l="1"/>
  <c r="B69" i="3" s="1"/>
  <c r="B65" i="3"/>
  <c r="A70" i="3"/>
  <c r="C30" i="3"/>
  <c r="F12" i="3"/>
  <c r="F13" i="3" s="1"/>
  <c r="F14" i="3" s="1"/>
  <c r="G21" i="3" l="1"/>
  <c r="G24" i="3" s="1"/>
  <c r="G29" i="3" s="1"/>
  <c r="G14" i="3"/>
  <c r="G30" i="3" l="1"/>
  <c r="B31" i="3"/>
  <c r="A37" i="3"/>
  <c r="B31" i="1"/>
  <c r="C29" i="1"/>
  <c r="C30" i="1" s="1"/>
  <c r="B29" i="1"/>
  <c r="B28" i="1"/>
  <c r="C13" i="1"/>
  <c r="C16" i="1" s="1"/>
  <c r="B12" i="1"/>
  <c r="B13" i="1" s="1"/>
  <c r="B16" i="1" s="1"/>
  <c r="G30" i="1"/>
  <c r="F30" i="1"/>
  <c r="E30" i="1"/>
  <c r="D30" i="1"/>
  <c r="B26" i="1"/>
  <c r="B8" i="1"/>
  <c r="B36" i="3" l="1"/>
  <c r="B85" i="3"/>
  <c r="G25" i="1"/>
  <c r="B30" i="1"/>
  <c r="C17" i="1"/>
  <c r="C18" i="1" s="1"/>
  <c r="C19" i="1" s="1"/>
  <c r="D23" i="1" s="1"/>
  <c r="B17" i="1"/>
  <c r="B18" i="1" s="1"/>
  <c r="B19" i="1" s="1"/>
  <c r="C23" i="1" s="1"/>
  <c r="C26" i="1" s="1"/>
  <c r="C31" i="1" s="1"/>
  <c r="E23" i="1" l="1"/>
  <c r="D26" i="1"/>
  <c r="D31" i="1" s="1"/>
  <c r="E26" i="1" l="1"/>
  <c r="E31" i="1" s="1"/>
  <c r="F23" i="1"/>
  <c r="G23" i="1" l="1"/>
  <c r="G26" i="1" s="1"/>
  <c r="G31" i="1" s="1"/>
  <c r="B33" i="1" s="1"/>
  <c r="F26" i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29" authorId="0" shapeId="0" xr:uid="{DFDD1063-3FC9-4084-8D8D-C378E15C1369}">
      <text>
        <r>
          <rPr>
            <b/>
            <sz val="9"/>
            <color indexed="81"/>
            <rFont val="Tahoma"/>
            <family val="2"/>
          </rPr>
          <t>875000-125000=750000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D0ABDB6D-A37C-44BC-B64B-B8FC55C57213}">
      <text>
        <r>
          <rPr>
            <b/>
            <sz val="9"/>
            <color indexed="81"/>
            <rFont val="Tahoma"/>
            <family val="2"/>
          </rPr>
          <t>Résultat après IS + Dotations aux Amts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66825D5E-B60B-47F8-A551-9A5C5742621F}">
      <text>
        <r>
          <rPr>
            <b/>
            <sz val="9"/>
            <color indexed="81"/>
            <rFont val="Tahoma"/>
            <family val="2"/>
          </rPr>
          <t>Excel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F0FA352F-EAF8-4B47-82FE-E5A75F7F0F67}">
      <text>
        <r>
          <rPr>
            <b/>
            <sz val="9"/>
            <color indexed="81"/>
            <rFont val="Tahoma"/>
            <family val="2"/>
          </rPr>
          <t>Résultat après IS + Dotations aux Amts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0" authorId="0" shapeId="0" xr:uid="{42B77C9C-8EFD-416A-B6E6-171D8FB7FD19}">
      <text>
        <r>
          <rPr>
            <b/>
            <sz val="9"/>
            <color indexed="81"/>
            <rFont val="Tahoma"/>
            <family val="2"/>
          </rPr>
          <t>Excel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3" authorId="0" shapeId="0" xr:uid="{358D89E2-28B8-4741-AD21-6FDE257C5AFE}">
      <text>
        <r>
          <rPr>
            <b/>
            <sz val="9"/>
            <color indexed="81"/>
            <rFont val="Tahoma"/>
            <family val="2"/>
          </rPr>
          <t>Excel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K18" authorId="0" shapeId="0" xr:uid="{E2EE8A32-2A08-49E1-9648-F4DA4CD05821}">
      <text>
        <r>
          <rPr>
            <b/>
            <sz val="9"/>
            <color indexed="81"/>
            <rFont val="Tahoma"/>
            <family val="2"/>
          </rPr>
          <t>875000-125000=750000</t>
        </r>
      </text>
    </comment>
  </commentList>
</comments>
</file>

<file path=xl/sharedStrings.xml><?xml version="1.0" encoding="utf-8"?>
<sst xmlns="http://schemas.openxmlformats.org/spreadsheetml/2006/main" count="315" uniqueCount="71">
  <si>
    <t>Montant du capital investi :</t>
  </si>
  <si>
    <t>Terrain</t>
  </si>
  <si>
    <t>Batiment</t>
  </si>
  <si>
    <t>Equipements</t>
  </si>
  <si>
    <t>TOTAL</t>
  </si>
  <si>
    <t>N</t>
  </si>
  <si>
    <t>N+1 à N+4</t>
  </si>
  <si>
    <t>CA</t>
  </si>
  <si>
    <t>Charges variables</t>
  </si>
  <si>
    <t>Charges fixes</t>
  </si>
  <si>
    <t>Dotations aux amts</t>
  </si>
  <si>
    <t>Résultat avant IS</t>
  </si>
  <si>
    <t>IS 25%</t>
  </si>
  <si>
    <t>CAF</t>
  </si>
  <si>
    <t>Résultat après IS</t>
  </si>
  <si>
    <t>Début N</t>
  </si>
  <si>
    <t>N+1</t>
  </si>
  <si>
    <t>N+2</t>
  </si>
  <si>
    <t>N+3</t>
  </si>
  <si>
    <t>N+4</t>
  </si>
  <si>
    <t>ENCAISSEMENTS</t>
  </si>
  <si>
    <t>Valeur résiduelle de l'investissement</t>
  </si>
  <si>
    <t>Récupération du BFR</t>
  </si>
  <si>
    <t>DECAISSEMENTS</t>
  </si>
  <si>
    <t>Acquisition</t>
  </si>
  <si>
    <t>BFR</t>
  </si>
  <si>
    <t>FLUX NETS DE TRESORERIE</t>
  </si>
  <si>
    <t>FLUX NETS ACTUALISES</t>
  </si>
  <si>
    <t>Investissement initial</t>
  </si>
  <si>
    <t>Investissement sur 3 ans</t>
  </si>
  <si>
    <t>Montant de l'investissement</t>
  </si>
  <si>
    <t>Valeur résiduelle</t>
  </si>
  <si>
    <t>Quantités vendues</t>
  </si>
  <si>
    <t>Prix de vente unitaire</t>
  </si>
  <si>
    <t>Coût de revient unitaire</t>
  </si>
  <si>
    <t>Charges</t>
  </si>
  <si>
    <t>Dotations aux amortissements</t>
  </si>
  <si>
    <t>Economie IS</t>
  </si>
  <si>
    <t>Bénéfice imposable</t>
  </si>
  <si>
    <t>IS - 25%</t>
  </si>
  <si>
    <t>C.A.F.</t>
  </si>
  <si>
    <t>Déficit reportable</t>
  </si>
  <si>
    <t>Hypothèse 1</t>
  </si>
  <si>
    <t>Quantité</t>
  </si>
  <si>
    <t>Prix de vente HT</t>
  </si>
  <si>
    <t>Investissement n° 1</t>
  </si>
  <si>
    <t>Investissement</t>
  </si>
  <si>
    <t>Durée (en année)</t>
  </si>
  <si>
    <t>Cession net d'IS</t>
  </si>
  <si>
    <t>Sans actualisation</t>
  </si>
  <si>
    <t>Rentabilité</t>
  </si>
  <si>
    <t>En tenant compte de l'actualisation</t>
  </si>
  <si>
    <t>Taux d'actualisation</t>
  </si>
  <si>
    <t>VAN</t>
  </si>
  <si>
    <t>Investissement n° 2</t>
  </si>
  <si>
    <t>TRI du 2ème investissement</t>
  </si>
  <si>
    <t>DRCI di 2ème investissement</t>
  </si>
  <si>
    <t>Indice de profitabilité</t>
  </si>
  <si>
    <t>RFR</t>
  </si>
  <si>
    <t>Revente en N+2 prix de cession : 200000€</t>
  </si>
  <si>
    <t>Cession de l'équipement net IS</t>
  </si>
  <si>
    <t>Ressources en Fonds de roulement</t>
  </si>
  <si>
    <t>Annulation du RFR</t>
  </si>
  <si>
    <t>Taux</t>
  </si>
  <si>
    <t>Cession de l'équipement</t>
  </si>
  <si>
    <t>Carry Back</t>
  </si>
  <si>
    <t>Revente en N+4 prix de cession : 2 600 000€</t>
  </si>
  <si>
    <t>HYPOTHESE 2</t>
  </si>
  <si>
    <t>HYPOTHESE 1</t>
  </si>
  <si>
    <t>Revente en N+4 prix de cession :</t>
  </si>
  <si>
    <t>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</si>
</sst>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7" formatCode="_-* #,##0\ [$€-40C]_-;\-* #,##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44" fontId="0" fillId="0" borderId="1" xfId="1" applyFont="1" applyBorder="1"/>
    <xf numFmtId="165" fontId="0" fillId="0" borderId="1" xfId="1" applyNumberFormat="1" applyFont="1" applyBorder="1"/>
    <xf numFmtId="44" fontId="0" fillId="0" borderId="0" xfId="1" applyFont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3" fillId="0" borderId="1" xfId="0" applyFont="1" applyBorder="1"/>
    <xf numFmtId="6" fontId="0" fillId="0" borderId="1" xfId="0" applyNumberFormat="1" applyBorder="1" applyAlignment="1">
      <alignment horizontal="center"/>
    </xf>
    <xf numFmtId="0" fontId="0" fillId="2" borderId="1" xfId="0" applyFill="1" applyBorder="1"/>
    <xf numFmtId="165" fontId="0" fillId="2" borderId="1" xfId="0" applyNumberFormat="1" applyFill="1" applyBorder="1"/>
    <xf numFmtId="167" fontId="0" fillId="2" borderId="1" xfId="1" applyNumberFormat="1" applyFont="1" applyFill="1" applyBorder="1"/>
    <xf numFmtId="0" fontId="3" fillId="2" borderId="1" xfId="0" applyFont="1" applyFill="1" applyBorder="1"/>
    <xf numFmtId="167" fontId="3" fillId="2" borderId="1" xfId="0" applyNumberFormat="1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165" fontId="0" fillId="3" borderId="1" xfId="1" applyNumberFormat="1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0" fontId="0" fillId="0" borderId="1" xfId="0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0" fillId="2" borderId="1" xfId="1" applyNumberFormat="1" applyFont="1" applyFill="1" applyBorder="1"/>
    <xf numFmtId="165" fontId="3" fillId="2" borderId="1" xfId="1" applyNumberFormat="1" applyFont="1" applyFill="1" applyBorder="1"/>
    <xf numFmtId="165" fontId="3" fillId="3" borderId="1" xfId="1" applyNumberFormat="1" applyFont="1" applyFill="1" applyBorder="1"/>
    <xf numFmtId="165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left"/>
    </xf>
    <xf numFmtId="6" fontId="0" fillId="0" borderId="1" xfId="0" applyNumberFormat="1" applyBorder="1" applyAlignment="1">
      <alignment horizontal="right"/>
    </xf>
    <xf numFmtId="6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/>
    <xf numFmtId="0" fontId="5" fillId="0" borderId="1" xfId="0" applyFont="1" applyFill="1" applyBorder="1"/>
    <xf numFmtId="165" fontId="5" fillId="0" borderId="1" xfId="0" applyNumberFormat="1" applyFont="1" applyFill="1" applyBorder="1"/>
    <xf numFmtId="165" fontId="5" fillId="0" borderId="1" xfId="0" applyNumberFormat="1" applyFont="1" applyBorder="1"/>
    <xf numFmtId="0" fontId="5" fillId="0" borderId="1" xfId="0" applyFont="1" applyBorder="1"/>
    <xf numFmtId="165" fontId="0" fillId="0" borderId="0" xfId="0" applyNumberFormat="1" applyBorder="1"/>
    <xf numFmtId="165" fontId="3" fillId="0" borderId="0" xfId="1" applyNumberFormat="1" applyFont="1" applyBorder="1"/>
    <xf numFmtId="0" fontId="0" fillId="4" borderId="1" xfId="0" applyFill="1" applyBorder="1"/>
    <xf numFmtId="165" fontId="0" fillId="4" borderId="1" xfId="0" applyNumberFormat="1" applyFill="1" applyBorder="1"/>
    <xf numFmtId="165" fontId="5" fillId="4" borderId="1" xfId="0" applyNumberFormat="1" applyFont="1" applyFill="1" applyBorder="1"/>
    <xf numFmtId="0" fontId="5" fillId="4" borderId="1" xfId="0" applyFont="1" applyFill="1" applyBorder="1"/>
    <xf numFmtId="6" fontId="0" fillId="0" borderId="0" xfId="0" applyNumberFormat="1"/>
    <xf numFmtId="0" fontId="3" fillId="4" borderId="0" xfId="0" applyFont="1" applyFill="1" applyAlignment="1">
      <alignment horizontal="center"/>
    </xf>
    <xf numFmtId="6" fontId="0" fillId="0" borderId="1" xfId="0" applyNumberFormat="1" applyBorder="1"/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1" applyNumberFormat="1" applyFont="1" applyBorder="1"/>
    <xf numFmtId="0" fontId="0" fillId="0" borderId="0" xfId="0" applyBorder="1"/>
    <xf numFmtId="0" fontId="0" fillId="2" borderId="0" xfId="0" applyFill="1"/>
    <xf numFmtId="165" fontId="0" fillId="2" borderId="0" xfId="1" applyNumberFormat="1" applyFont="1" applyFill="1"/>
    <xf numFmtId="0" fontId="0" fillId="4" borderId="0" xfId="0" applyFill="1" applyBorder="1"/>
    <xf numFmtId="165" fontId="0" fillId="4" borderId="0" xfId="0" applyNumberFormat="1" applyFill="1" applyBorder="1"/>
    <xf numFmtId="0" fontId="0" fillId="0" borderId="0" xfId="0" applyFill="1" applyBorder="1"/>
    <xf numFmtId="9" fontId="0" fillId="0" borderId="0" xfId="0" applyNumberFormat="1"/>
    <xf numFmtId="0" fontId="0" fillId="2" borderId="0" xfId="0" applyFill="1" applyBorder="1"/>
    <xf numFmtId="165" fontId="0" fillId="2" borderId="0" xfId="0" applyNumberFormat="1" applyFill="1"/>
    <xf numFmtId="9" fontId="0" fillId="0" borderId="0" xfId="0" applyNumberFormat="1" applyBorder="1"/>
    <xf numFmtId="10" fontId="0" fillId="0" borderId="0" xfId="0" applyNumberFormat="1"/>
    <xf numFmtId="0" fontId="0" fillId="0" borderId="2" xfId="0" applyFill="1" applyBorder="1"/>
    <xf numFmtId="2" fontId="0" fillId="0" borderId="0" xfId="0" applyNumberFormat="1" applyBorder="1"/>
    <xf numFmtId="165" fontId="0" fillId="0" borderId="0" xfId="0" quotePrefix="1" applyNumberFormat="1" applyBorder="1"/>
    <xf numFmtId="2" fontId="0" fillId="0" borderId="0" xfId="2" applyNumberFormat="1" applyFont="1"/>
    <xf numFmtId="0" fontId="0" fillId="5" borderId="0" xfId="0" applyFill="1" applyAlignment="1">
      <alignment horizontal="right"/>
    </xf>
    <xf numFmtId="6" fontId="0" fillId="5" borderId="0" xfId="0" applyNumberFormat="1" applyFill="1"/>
    <xf numFmtId="0" fontId="0" fillId="6" borderId="0" xfId="0" applyFill="1" applyBorder="1" applyAlignment="1">
      <alignment horizontal="right"/>
    </xf>
    <xf numFmtId="6" fontId="0" fillId="6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6" fontId="0" fillId="7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8" borderId="0" xfId="0" applyFill="1" applyAlignment="1">
      <alignment horizontal="right"/>
    </xf>
    <xf numFmtId="6" fontId="0" fillId="8" borderId="0" xfId="0" applyNumberFormat="1" applyFill="1" applyAlignment="1">
      <alignment horizontal="right"/>
    </xf>
    <xf numFmtId="165" fontId="0" fillId="7" borderId="0" xfId="0" applyNumberFormat="1" applyFill="1"/>
    <xf numFmtId="0" fontId="4" fillId="0" borderId="0" xfId="0" applyFont="1"/>
    <xf numFmtId="0" fontId="0" fillId="0" borderId="3" xfId="0" applyFill="1" applyBorder="1"/>
    <xf numFmtId="0" fontId="0" fillId="0" borderId="3" xfId="0" applyBorder="1"/>
    <xf numFmtId="165" fontId="0" fillId="0" borderId="3" xfId="1" applyNumberFormat="1" applyFont="1" applyBorder="1"/>
    <xf numFmtId="165" fontId="4" fillId="0" borderId="1" xfId="1" applyNumberFormat="1" applyFont="1" applyBorder="1"/>
    <xf numFmtId="165" fontId="5" fillId="0" borderId="1" xfId="1" applyNumberFormat="1" applyFont="1" applyBorder="1"/>
    <xf numFmtId="165" fontId="5" fillId="0" borderId="3" xfId="1" applyNumberFormat="1" applyFont="1" applyBorder="1"/>
    <xf numFmtId="165" fontId="4" fillId="0" borderId="1" xfId="0" applyNumberFormat="1" applyFont="1" applyBorder="1"/>
    <xf numFmtId="165" fontId="8" fillId="0" borderId="1" xfId="1" applyNumberFormat="1" applyFont="1" applyBorder="1"/>
    <xf numFmtId="165" fontId="0" fillId="3" borderId="0" xfId="1" applyNumberFormat="1" applyFont="1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165" fontId="0" fillId="0" borderId="5" xfId="1" applyNumberFormat="1" applyFont="1" applyBorder="1"/>
    <xf numFmtId="165" fontId="3" fillId="0" borderId="4" xfId="1" applyNumberFormat="1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5" fontId="0" fillId="3" borderId="0" xfId="0" applyNumberFormat="1" applyFill="1" applyBorder="1"/>
    <xf numFmtId="165" fontId="3" fillId="3" borderId="0" xfId="1" applyNumberFormat="1" applyFont="1" applyFill="1" applyBorder="1"/>
    <xf numFmtId="0" fontId="5" fillId="0" borderId="6" xfId="0" applyFont="1" applyBorder="1"/>
    <xf numFmtId="0" fontId="4" fillId="0" borderId="6" xfId="0" applyFont="1" applyBorder="1"/>
    <xf numFmtId="0" fontId="5" fillId="0" borderId="7" xfId="0" applyFont="1" applyBorder="1"/>
    <xf numFmtId="165" fontId="5" fillId="0" borderId="6" xfId="1" applyNumberFormat="1" applyFont="1" applyBorder="1"/>
    <xf numFmtId="165" fontId="5" fillId="0" borderId="6" xfId="0" applyNumberFormat="1" applyFont="1" applyBorder="1"/>
    <xf numFmtId="165" fontId="8" fillId="0" borderId="6" xfId="1" applyNumberFormat="1" applyFont="1" applyBorder="1"/>
    <xf numFmtId="0" fontId="0" fillId="0" borderId="0" xfId="0" applyAlignment="1">
      <alignment horizontal="center"/>
    </xf>
    <xf numFmtId="6" fontId="5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0" fontId="3" fillId="0" borderId="8" xfId="0" applyFont="1" applyBorder="1" applyAlignment="1">
      <alignment horizontal="center"/>
    </xf>
    <xf numFmtId="165" fontId="5" fillId="0" borderId="0" xfId="0" applyNumberFormat="1" applyFont="1" applyBorder="1"/>
    <xf numFmtId="165" fontId="5" fillId="0" borderId="4" xfId="0" applyNumberFormat="1" applyFont="1" applyBorder="1"/>
    <xf numFmtId="0" fontId="5" fillId="0" borderId="4" xfId="0" applyFont="1" applyBorder="1"/>
    <xf numFmtId="0" fontId="4" fillId="0" borderId="4" xfId="0" applyFont="1" applyBorder="1"/>
    <xf numFmtId="44" fontId="0" fillId="0" borderId="0" xfId="0" applyNumberFormat="1" applyBorder="1"/>
    <xf numFmtId="2" fontId="1" fillId="0" borderId="0" xfId="1" applyNumberFormat="1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44263</xdr:colOff>
      <xdr:row>17</xdr:row>
      <xdr:rowOff>62472</xdr:rowOff>
    </xdr:from>
    <xdr:to>
      <xdr:col>10</xdr:col>
      <xdr:colOff>293594</xdr:colOff>
      <xdr:row>25</xdr:row>
      <xdr:rowOff>90488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AF0F096-F7C8-4F6F-8FC7-122B5348DE47}"/>
            </a:ext>
          </a:extLst>
        </xdr:cNvPr>
        <xdr:cNvSpPr txBox="1"/>
      </xdr:nvSpPr>
      <xdr:spPr>
        <a:xfrm>
          <a:off x="8111938" y="3300972"/>
          <a:ext cx="3402106" cy="15520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Coût d'acquisition : 700 000€</a:t>
          </a:r>
        </a:p>
        <a:p>
          <a:r>
            <a:rPr lang="fr-FR" sz="1100"/>
            <a:t>Amortissement</a:t>
          </a:r>
          <a:r>
            <a:rPr lang="fr-FR" sz="1100" baseline="0"/>
            <a:t> annuel : 140 000€</a:t>
          </a:r>
        </a:p>
        <a:p>
          <a:r>
            <a:rPr lang="fr-FR" sz="1100" baseline="0"/>
            <a:t>Amortissement / 5 ans : (140000*5) = 700 000€</a:t>
          </a:r>
        </a:p>
        <a:p>
          <a:r>
            <a:rPr lang="fr-FR" sz="1100" baseline="0"/>
            <a:t>VNC : 700 000 - 700 000 = 0€</a:t>
          </a:r>
        </a:p>
        <a:p>
          <a:r>
            <a:rPr lang="fr-FR" sz="1100" baseline="0"/>
            <a:t>Valeur de revente : 50000€</a:t>
          </a:r>
        </a:p>
        <a:p>
          <a:r>
            <a:rPr lang="fr-FR" sz="1100" baseline="0"/>
            <a:t>+ Value : 50000 - 0 = +50000€</a:t>
          </a:r>
        </a:p>
        <a:p>
          <a:r>
            <a:rPr lang="fr-FR" sz="1100" baseline="0"/>
            <a:t>IS 25% de la plus value : 50000*0,25 = 12500€</a:t>
          </a:r>
        </a:p>
        <a:p>
          <a:r>
            <a:rPr lang="fr-FR" sz="1100" baseline="0"/>
            <a:t>Cession net IS : 50000 - 12500 = 37500€</a:t>
          </a:r>
        </a:p>
        <a:p>
          <a:endParaRPr lang="fr-FR" sz="1100"/>
        </a:p>
      </xdr:txBody>
    </xdr:sp>
    <xdr:clientData/>
  </xdr:twoCellAnchor>
  <xdr:twoCellAnchor>
    <xdr:from>
      <xdr:col>10</xdr:col>
      <xdr:colOff>473169</xdr:colOff>
      <xdr:row>18</xdr:row>
      <xdr:rowOff>28014</xdr:rowOff>
    </xdr:from>
    <xdr:to>
      <xdr:col>13</xdr:col>
      <xdr:colOff>722221</xdr:colOff>
      <xdr:row>24</xdr:row>
      <xdr:rowOff>105054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CC815A8-BCAA-404A-9161-95F1E4E13BDD}"/>
            </a:ext>
          </a:extLst>
        </xdr:cNvPr>
        <xdr:cNvSpPr txBox="1"/>
      </xdr:nvSpPr>
      <xdr:spPr>
        <a:xfrm>
          <a:off x="11693619" y="3457014"/>
          <a:ext cx="2535052" cy="12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BFR = 2 mois de CA</a:t>
          </a:r>
          <a:r>
            <a:rPr lang="fr-FR" sz="1100" baseline="0"/>
            <a:t> de l'année N</a:t>
          </a:r>
        </a:p>
        <a:p>
          <a:r>
            <a:rPr lang="fr-FR" sz="1100" baseline="0"/>
            <a:t>CA de N ( 12 mois) : 1 980 000€</a:t>
          </a:r>
        </a:p>
        <a:p>
          <a:r>
            <a:rPr lang="fr-FR" sz="1100"/>
            <a:t>2  possibilités</a:t>
          </a:r>
        </a:p>
        <a:p>
          <a:r>
            <a:rPr lang="fr-FR" sz="1100"/>
            <a:t>1 980 000 * 2/12 = 330</a:t>
          </a:r>
          <a:r>
            <a:rPr lang="fr-FR" sz="1100" baseline="0"/>
            <a:t> 0</a:t>
          </a:r>
          <a:r>
            <a:rPr lang="fr-FR" sz="1100"/>
            <a:t>00€</a:t>
          </a:r>
        </a:p>
        <a:p>
          <a:r>
            <a:rPr lang="fr-FR" sz="1100"/>
            <a:t>1</a:t>
          </a:r>
          <a:r>
            <a:rPr lang="fr-FR" sz="1100" baseline="0"/>
            <a:t> 9800 000 * 60/360 = 330 000€</a:t>
          </a:r>
          <a:endParaRPr lang="fr-FR" sz="1100"/>
        </a:p>
      </xdr:txBody>
    </xdr:sp>
    <xdr:clientData/>
  </xdr:twoCellAnchor>
  <xdr:twoCellAnchor>
    <xdr:from>
      <xdr:col>1</xdr:col>
      <xdr:colOff>498165</xdr:colOff>
      <xdr:row>16</xdr:row>
      <xdr:rowOff>144930</xdr:rowOff>
    </xdr:from>
    <xdr:to>
      <xdr:col>2</xdr:col>
      <xdr:colOff>628180</xdr:colOff>
      <xdr:row>18</xdr:row>
      <xdr:rowOff>74701</xdr:rowOff>
    </xdr:to>
    <xdr:sp macro="" textlink="">
      <xdr:nvSpPr>
        <xdr:cNvPr id="4" name="Flèche : courbe vers le haut 3">
          <a:extLst>
            <a:ext uri="{FF2B5EF4-FFF2-40B4-BE49-F238E27FC236}">
              <a16:creationId xmlns:a16="http://schemas.microsoft.com/office/drawing/2014/main" id="{CDBC81DE-A9BF-4F94-B13B-3712E6118457}"/>
            </a:ext>
          </a:extLst>
        </xdr:cNvPr>
        <xdr:cNvSpPr/>
      </xdr:nvSpPr>
      <xdr:spPr>
        <a:xfrm rot="11153669">
          <a:off x="2803215" y="4716930"/>
          <a:ext cx="1149190" cy="31077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405993</xdr:colOff>
      <xdr:row>15</xdr:row>
      <xdr:rowOff>109150</xdr:rowOff>
    </xdr:from>
    <xdr:to>
      <xdr:col>3</xdr:col>
      <xdr:colOff>678974</xdr:colOff>
      <xdr:row>17</xdr:row>
      <xdr:rowOff>38921</xdr:rowOff>
    </xdr:to>
    <xdr:sp macro="" textlink="">
      <xdr:nvSpPr>
        <xdr:cNvPr id="5" name="Flèche : courbe vers le haut 4">
          <a:extLst>
            <a:ext uri="{FF2B5EF4-FFF2-40B4-BE49-F238E27FC236}">
              <a16:creationId xmlns:a16="http://schemas.microsoft.com/office/drawing/2014/main" id="{94EC40D9-B900-47B6-ADFF-1828489D6A45}"/>
            </a:ext>
          </a:extLst>
        </xdr:cNvPr>
        <xdr:cNvSpPr/>
      </xdr:nvSpPr>
      <xdr:spPr>
        <a:xfrm rot="11153669">
          <a:off x="2711043" y="4490650"/>
          <a:ext cx="2158931" cy="31077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216136</xdr:colOff>
      <xdr:row>14</xdr:row>
      <xdr:rowOff>167392</xdr:rowOff>
    </xdr:from>
    <xdr:to>
      <xdr:col>6</xdr:col>
      <xdr:colOff>623576</xdr:colOff>
      <xdr:row>16</xdr:row>
      <xdr:rowOff>97164</xdr:rowOff>
    </xdr:to>
    <xdr:sp macro="" textlink="">
      <xdr:nvSpPr>
        <xdr:cNvPr id="6" name="Flèche : courbe vers le haut 5">
          <a:extLst>
            <a:ext uri="{FF2B5EF4-FFF2-40B4-BE49-F238E27FC236}">
              <a16:creationId xmlns:a16="http://schemas.microsoft.com/office/drawing/2014/main" id="{BDC6BDF5-3805-4914-8428-42CD0081D915}"/>
            </a:ext>
          </a:extLst>
        </xdr:cNvPr>
        <xdr:cNvSpPr/>
      </xdr:nvSpPr>
      <xdr:spPr>
        <a:xfrm rot="11153669">
          <a:off x="2521186" y="4358392"/>
          <a:ext cx="4893715" cy="310772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1264443</xdr:colOff>
      <xdr:row>22</xdr:row>
      <xdr:rowOff>92869</xdr:rowOff>
    </xdr:from>
    <xdr:to>
      <xdr:col>4</xdr:col>
      <xdr:colOff>333375</xdr:colOff>
      <xdr:row>29</xdr:row>
      <xdr:rowOff>161924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53247EA-1807-4D67-B94D-C3A46EAF5DAD}"/>
            </a:ext>
          </a:extLst>
        </xdr:cNvPr>
        <xdr:cNvSpPr txBox="1"/>
      </xdr:nvSpPr>
      <xdr:spPr>
        <a:xfrm>
          <a:off x="1264443" y="4283869"/>
          <a:ext cx="4574382" cy="140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PA : 6</a:t>
          </a:r>
          <a:r>
            <a:rPr lang="fr-FR" sz="1100" baseline="0"/>
            <a:t> 600 00</a:t>
          </a:r>
        </a:p>
        <a:p>
          <a:r>
            <a:rPr lang="fr-FR" sz="1100" baseline="0"/>
            <a:t>AMT : 3 625 000</a:t>
          </a:r>
        </a:p>
        <a:p>
          <a:r>
            <a:rPr lang="fr-FR" sz="1100" baseline="0"/>
            <a:t>VNC :  2 975 000</a:t>
          </a:r>
        </a:p>
        <a:p>
          <a:endParaRPr lang="fr-FR" sz="1100" baseline="0"/>
        </a:p>
        <a:p>
          <a:r>
            <a:rPr lang="fr-FR" sz="1100" baseline="0"/>
            <a:t>PC : 3 000 000</a:t>
          </a:r>
        </a:p>
        <a:p>
          <a:r>
            <a:rPr lang="fr-FR" sz="1100" baseline="0"/>
            <a:t>VNC : 2 975 000</a:t>
          </a:r>
        </a:p>
        <a:p>
          <a:r>
            <a:rPr lang="fr-FR" sz="1100" baseline="0"/>
            <a:t>+VALUE : 25 000€   IS  =&gt;   25000 * 25%  =&gt;  6250€</a:t>
          </a:r>
        </a:p>
      </xdr:txBody>
    </xdr:sp>
    <xdr:clientData/>
  </xdr:twoCellAnchor>
  <xdr:twoCellAnchor>
    <xdr:from>
      <xdr:col>8</xdr:col>
      <xdr:colOff>964406</xdr:colOff>
      <xdr:row>23</xdr:row>
      <xdr:rowOff>116681</xdr:rowOff>
    </xdr:from>
    <xdr:to>
      <xdr:col>13</xdr:col>
      <xdr:colOff>600075</xdr:colOff>
      <xdr:row>28</xdr:row>
      <xdr:rowOff>180975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0D86FEB-4B52-473E-B7A5-77145BD46639}"/>
            </a:ext>
          </a:extLst>
        </xdr:cNvPr>
        <xdr:cNvSpPr txBox="1"/>
      </xdr:nvSpPr>
      <xdr:spPr>
        <a:xfrm>
          <a:off x="10108406" y="4498181"/>
          <a:ext cx="4807744" cy="1016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GESTION</a:t>
          </a:r>
          <a:r>
            <a:rPr lang="fr-FR" sz="1100" baseline="0"/>
            <a:t> DU DEFICIT DE N+4</a:t>
          </a:r>
        </a:p>
        <a:p>
          <a:r>
            <a:rPr lang="fr-FR" sz="1100" baseline="0"/>
            <a:t>DEFICIT EXPLOITATION : -5000</a:t>
          </a:r>
        </a:p>
        <a:p>
          <a:r>
            <a:rPr lang="fr-FR" sz="1100" baseline="0"/>
            <a:t>CARRY BACK (FICTIF) : 5000* 25%  =&gt;  1250€</a:t>
          </a:r>
        </a:p>
        <a:p>
          <a:r>
            <a:rPr lang="fr-FR" sz="1100" baseline="0"/>
            <a:t>PLAFONNE A L'IS DE L'ANNEE PRECEDENTE : 43750€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65537-DA8D-4FC3-B47C-760536AF9306}">
  <dimension ref="A3:G33"/>
  <sheetViews>
    <sheetView showGridLines="0" tabSelected="1" workbookViewId="0">
      <selection activeCell="F6" sqref="F6"/>
    </sheetView>
  </sheetViews>
  <sheetFormatPr baseColWidth="10" defaultRowHeight="15" x14ac:dyDescent="0.25"/>
  <cols>
    <col min="1" max="1" width="41.28515625" customWidth="1"/>
    <col min="2" max="2" width="14.5703125" bestFit="1" customWidth="1"/>
    <col min="3" max="3" width="14.42578125" bestFit="1" customWidth="1"/>
    <col min="4" max="7" width="14.28515625" bestFit="1" customWidth="1"/>
    <col min="8" max="8" width="11.7109375" bestFit="1" customWidth="1"/>
  </cols>
  <sheetData>
    <row r="3" spans="1:3" x14ac:dyDescent="0.25">
      <c r="A3" t="s">
        <v>0</v>
      </c>
    </row>
    <row r="5" spans="1:3" x14ac:dyDescent="0.25">
      <c r="A5" s="3" t="s">
        <v>1</v>
      </c>
      <c r="B5" s="3">
        <v>600000</v>
      </c>
    </row>
    <row r="6" spans="1:3" x14ac:dyDescent="0.25">
      <c r="A6" s="3" t="s">
        <v>2</v>
      </c>
      <c r="B6" s="3">
        <v>950000</v>
      </c>
    </row>
    <row r="7" spans="1:3" x14ac:dyDescent="0.25">
      <c r="A7" s="3" t="s">
        <v>3</v>
      </c>
      <c r="B7" s="3">
        <v>650000</v>
      </c>
    </row>
    <row r="8" spans="1:3" x14ac:dyDescent="0.25">
      <c r="A8" s="3" t="s">
        <v>4</v>
      </c>
      <c r="B8" s="3">
        <f>SUM(B5:B7)</f>
        <v>2200000</v>
      </c>
    </row>
    <row r="11" spans="1:3" x14ac:dyDescent="0.25">
      <c r="A11" s="1"/>
      <c r="B11" s="6" t="s">
        <v>5</v>
      </c>
      <c r="C11" s="6" t="s">
        <v>6</v>
      </c>
    </row>
    <row r="12" spans="1:3" x14ac:dyDescent="0.25">
      <c r="A12" s="1" t="s">
        <v>7</v>
      </c>
      <c r="B12" s="3">
        <f>3000*1000</f>
        <v>3000000</v>
      </c>
      <c r="C12" s="3">
        <v>2000000</v>
      </c>
    </row>
    <row r="13" spans="1:3" x14ac:dyDescent="0.25">
      <c r="A13" s="1" t="s">
        <v>8</v>
      </c>
      <c r="B13" s="3">
        <f>B12*0.3</f>
        <v>900000</v>
      </c>
      <c r="C13" s="3">
        <f>C12*0.3</f>
        <v>600000</v>
      </c>
    </row>
    <row r="14" spans="1:3" x14ac:dyDescent="0.25">
      <c r="A14" s="1" t="s">
        <v>9</v>
      </c>
      <c r="B14" s="3">
        <v>600000</v>
      </c>
      <c r="C14" s="3">
        <v>990000</v>
      </c>
    </row>
    <row r="15" spans="1:3" x14ac:dyDescent="0.25">
      <c r="A15" s="1" t="s">
        <v>10</v>
      </c>
      <c r="B15" s="3">
        <v>210000</v>
      </c>
      <c r="C15" s="3">
        <v>210000</v>
      </c>
    </row>
    <row r="16" spans="1:3" x14ac:dyDescent="0.25">
      <c r="A16" s="1" t="s">
        <v>11</v>
      </c>
      <c r="B16" s="3">
        <f>B12-SUM(B13:B15)</f>
        <v>1290000</v>
      </c>
      <c r="C16" s="3">
        <f>C12-SUM(C13:C15)</f>
        <v>200000</v>
      </c>
    </row>
    <row r="17" spans="1:7" x14ac:dyDescent="0.25">
      <c r="A17" s="1" t="s">
        <v>12</v>
      </c>
      <c r="B17" s="3">
        <f>B16*0.25</f>
        <v>322500</v>
      </c>
      <c r="C17" s="3">
        <f>C16*0.25</f>
        <v>50000</v>
      </c>
    </row>
    <row r="18" spans="1:7" x14ac:dyDescent="0.25">
      <c r="A18" s="1" t="s">
        <v>14</v>
      </c>
      <c r="B18" s="3">
        <f>B16-B17</f>
        <v>967500</v>
      </c>
      <c r="C18" s="3">
        <f>C16-C17</f>
        <v>150000</v>
      </c>
    </row>
    <row r="19" spans="1:7" x14ac:dyDescent="0.25">
      <c r="A19" s="7" t="s">
        <v>13</v>
      </c>
      <c r="B19" s="21">
        <f>B18+B15</f>
        <v>1177500</v>
      </c>
      <c r="C19" s="21">
        <f>C18+C15</f>
        <v>360000</v>
      </c>
    </row>
    <row r="21" spans="1:7" x14ac:dyDescent="0.25">
      <c r="A21" s="6"/>
      <c r="B21" s="6" t="s">
        <v>15</v>
      </c>
      <c r="C21" s="6" t="s">
        <v>5</v>
      </c>
      <c r="D21" s="6" t="s">
        <v>16</v>
      </c>
      <c r="E21" s="6" t="s">
        <v>17</v>
      </c>
      <c r="F21" s="6" t="s">
        <v>18</v>
      </c>
      <c r="G21" s="6" t="s">
        <v>19</v>
      </c>
    </row>
    <row r="22" spans="1:7" x14ac:dyDescent="0.25">
      <c r="A22" s="6" t="s">
        <v>20</v>
      </c>
      <c r="B22" s="1"/>
      <c r="C22" s="8"/>
      <c r="D22" s="8"/>
      <c r="E22" s="8"/>
      <c r="F22" s="8"/>
      <c r="G22" s="8"/>
    </row>
    <row r="23" spans="1:7" x14ac:dyDescent="0.25">
      <c r="A23" s="9" t="s">
        <v>13</v>
      </c>
      <c r="B23" s="22"/>
      <c r="C23" s="22">
        <f>B19</f>
        <v>1177500</v>
      </c>
      <c r="D23" s="22">
        <f t="shared" ref="D23" si="0">C19</f>
        <v>360000</v>
      </c>
      <c r="E23" s="22">
        <f>+D23</f>
        <v>360000</v>
      </c>
      <c r="F23" s="22">
        <f t="shared" ref="F23:G23" si="1">+E23</f>
        <v>360000</v>
      </c>
      <c r="G23" s="22">
        <f t="shared" si="1"/>
        <v>360000</v>
      </c>
    </row>
    <row r="24" spans="1:7" x14ac:dyDescent="0.25">
      <c r="A24" s="9" t="s">
        <v>21</v>
      </c>
      <c r="B24" s="22"/>
      <c r="C24" s="22"/>
      <c r="D24" s="22"/>
      <c r="E24" s="22"/>
      <c r="F24" s="22"/>
      <c r="G24" s="22">
        <v>100000</v>
      </c>
    </row>
    <row r="25" spans="1:7" x14ac:dyDescent="0.25">
      <c r="A25" s="9" t="s">
        <v>22</v>
      </c>
      <c r="B25" s="22"/>
      <c r="C25" s="22"/>
      <c r="D25" s="22"/>
      <c r="E25" s="22"/>
      <c r="F25" s="22"/>
      <c r="G25" s="22">
        <f>-(B29+C29)</f>
        <v>200000</v>
      </c>
    </row>
    <row r="26" spans="1:7" x14ac:dyDescent="0.25">
      <c r="A26" s="12" t="s">
        <v>4</v>
      </c>
      <c r="B26" s="23">
        <f>SUM(B23:B25)</f>
        <v>0</v>
      </c>
      <c r="C26" s="23">
        <f t="shared" ref="C26:G26" si="2">SUM(C23:C25)</f>
        <v>1177500</v>
      </c>
      <c r="D26" s="23">
        <f t="shared" si="2"/>
        <v>360000</v>
      </c>
      <c r="E26" s="23">
        <f t="shared" si="2"/>
        <v>360000</v>
      </c>
      <c r="F26" s="23">
        <f t="shared" si="2"/>
        <v>360000</v>
      </c>
      <c r="G26" s="23">
        <f t="shared" si="2"/>
        <v>660000</v>
      </c>
    </row>
    <row r="27" spans="1:7" x14ac:dyDescent="0.25">
      <c r="A27" s="14" t="s">
        <v>23</v>
      </c>
      <c r="B27" s="16"/>
      <c r="C27" s="16"/>
      <c r="D27" s="16"/>
      <c r="E27" s="16"/>
      <c r="F27" s="16"/>
      <c r="G27" s="16"/>
    </row>
    <row r="28" spans="1:7" x14ac:dyDescent="0.25">
      <c r="A28" s="14" t="s">
        <v>28</v>
      </c>
      <c r="B28" s="16">
        <f>-B8</f>
        <v>-2200000</v>
      </c>
      <c r="C28" s="16"/>
      <c r="D28" s="16"/>
      <c r="E28" s="16"/>
      <c r="F28" s="16"/>
      <c r="G28" s="16"/>
    </row>
    <row r="29" spans="1:7" x14ac:dyDescent="0.25">
      <c r="A29" s="14" t="s">
        <v>25</v>
      </c>
      <c r="B29" s="16">
        <f>-B12*36/360</f>
        <v>-300000</v>
      </c>
      <c r="C29" s="16">
        <f>-(C12-B12)*36/360</f>
        <v>100000</v>
      </c>
      <c r="D29" s="16">
        <v>0</v>
      </c>
      <c r="E29" s="16">
        <v>0</v>
      </c>
      <c r="F29" s="16">
        <v>0</v>
      </c>
      <c r="G29" s="16"/>
    </row>
    <row r="30" spans="1:7" x14ac:dyDescent="0.25">
      <c r="A30" s="17" t="s">
        <v>4</v>
      </c>
      <c r="B30" s="24">
        <f>SUM(B28:B29)</f>
        <v>-2500000</v>
      </c>
      <c r="C30" s="24">
        <f t="shared" ref="C30:G30" si="3">SUM(C28:C29)</f>
        <v>100000</v>
      </c>
      <c r="D30" s="24">
        <f t="shared" si="3"/>
        <v>0</v>
      </c>
      <c r="E30" s="24">
        <f t="shared" si="3"/>
        <v>0</v>
      </c>
      <c r="F30" s="24">
        <f t="shared" si="3"/>
        <v>0</v>
      </c>
      <c r="G30" s="24">
        <f t="shared" si="3"/>
        <v>0</v>
      </c>
    </row>
    <row r="31" spans="1:7" x14ac:dyDescent="0.25">
      <c r="A31" s="19" t="s">
        <v>26</v>
      </c>
      <c r="B31" s="3">
        <f>B30</f>
        <v>-2500000</v>
      </c>
      <c r="C31" s="3">
        <f t="shared" ref="C31:G31" si="4">C26-C30</f>
        <v>1077500</v>
      </c>
      <c r="D31" s="3">
        <f t="shared" si="4"/>
        <v>360000</v>
      </c>
      <c r="E31" s="3">
        <f t="shared" si="4"/>
        <v>360000</v>
      </c>
      <c r="F31" s="3">
        <f t="shared" si="4"/>
        <v>360000</v>
      </c>
      <c r="G31" s="3">
        <f t="shared" si="4"/>
        <v>660000</v>
      </c>
    </row>
    <row r="33" spans="2:2" x14ac:dyDescent="0.25">
      <c r="B33" s="25">
        <f>SUM(B31:G31)</f>
        <v>317500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49C5-7CCE-4427-B70B-61968C50E573}">
  <dimension ref="A1:L33"/>
  <sheetViews>
    <sheetView showGridLines="0" workbookViewId="0">
      <selection activeCell="H29" sqref="H29"/>
    </sheetView>
  </sheetViews>
  <sheetFormatPr baseColWidth="10" defaultRowHeight="15" x14ac:dyDescent="0.25"/>
  <cols>
    <col min="1" max="1" width="29" customWidth="1"/>
    <col min="2" max="2" width="19" customWidth="1"/>
    <col min="3" max="4" width="15.140625" bestFit="1" customWidth="1"/>
    <col min="5" max="5" width="5.140625" customWidth="1"/>
    <col min="6" max="6" width="26" customWidth="1"/>
    <col min="7" max="7" width="13.5703125" customWidth="1"/>
    <col min="8" max="8" width="14" customWidth="1"/>
    <col min="9" max="9" width="12" bestFit="1" customWidth="1"/>
    <col min="10" max="10" width="12.85546875" bestFit="1" customWidth="1"/>
  </cols>
  <sheetData>
    <row r="1" spans="1:6" x14ac:dyDescent="0.25">
      <c r="A1" t="s">
        <v>29</v>
      </c>
    </row>
    <row r="2" spans="1:6" x14ac:dyDescent="0.25">
      <c r="A2" t="s">
        <v>30</v>
      </c>
      <c r="B2" s="4">
        <v>210000</v>
      </c>
      <c r="F2" s="26"/>
    </row>
    <row r="3" spans="1:6" x14ac:dyDescent="0.25">
      <c r="A3" t="s">
        <v>31</v>
      </c>
      <c r="B3">
        <v>0</v>
      </c>
    </row>
    <row r="5" spans="1:6" x14ac:dyDescent="0.25">
      <c r="A5" s="1"/>
      <c r="B5" s="6" t="s">
        <v>5</v>
      </c>
      <c r="C5" s="6" t="s">
        <v>16</v>
      </c>
      <c r="D5" s="6" t="s">
        <v>17</v>
      </c>
    </row>
    <row r="6" spans="1:6" x14ac:dyDescent="0.25">
      <c r="A6" s="1" t="s">
        <v>32</v>
      </c>
      <c r="B6" s="1">
        <v>1400</v>
      </c>
      <c r="C6" s="1">
        <v>3200</v>
      </c>
      <c r="D6" s="1">
        <v>2600</v>
      </c>
    </row>
    <row r="7" spans="1:6" x14ac:dyDescent="0.25">
      <c r="A7" s="1" t="s">
        <v>33</v>
      </c>
      <c r="B7" s="2">
        <v>125</v>
      </c>
      <c r="C7" s="2">
        <v>130</v>
      </c>
      <c r="D7" s="2">
        <v>115</v>
      </c>
    </row>
    <row r="8" spans="1:6" x14ac:dyDescent="0.25">
      <c r="A8" s="1" t="s">
        <v>34</v>
      </c>
      <c r="B8" s="2">
        <v>90</v>
      </c>
      <c r="C8" s="2">
        <v>90</v>
      </c>
      <c r="D8" s="2">
        <v>85</v>
      </c>
    </row>
    <row r="11" spans="1:6" x14ac:dyDescent="0.25">
      <c r="A11" t="s">
        <v>42</v>
      </c>
    </row>
    <row r="12" spans="1:6" x14ac:dyDescent="0.25">
      <c r="A12" s="6"/>
      <c r="B12" s="6" t="s">
        <v>5</v>
      </c>
      <c r="C12" s="6" t="s">
        <v>16</v>
      </c>
      <c r="D12" s="6" t="s">
        <v>17</v>
      </c>
    </row>
    <row r="13" spans="1:6" x14ac:dyDescent="0.25">
      <c r="A13" s="27" t="s">
        <v>7</v>
      </c>
      <c r="B13" s="28">
        <f>+B6*B7</f>
        <v>175000</v>
      </c>
      <c r="C13" s="28">
        <f t="shared" ref="C13:D13" si="0">+C6*C7</f>
        <v>416000</v>
      </c>
      <c r="D13" s="28">
        <f t="shared" si="0"/>
        <v>299000</v>
      </c>
    </row>
    <row r="14" spans="1:6" x14ac:dyDescent="0.25">
      <c r="A14" s="1" t="s">
        <v>35</v>
      </c>
      <c r="B14" s="29">
        <f>-B6*B8</f>
        <v>-126000</v>
      </c>
      <c r="C14" s="29">
        <f t="shared" ref="C14:D14" si="1">-C6*C8</f>
        <v>-288000</v>
      </c>
      <c r="D14" s="29">
        <f t="shared" si="1"/>
        <v>-221000</v>
      </c>
    </row>
    <row r="15" spans="1:6" x14ac:dyDescent="0.25">
      <c r="A15" s="1" t="s">
        <v>36</v>
      </c>
      <c r="B15" s="30">
        <f>-(B2-B3)/3</f>
        <v>-70000</v>
      </c>
      <c r="C15" s="30">
        <f>B15</f>
        <v>-70000</v>
      </c>
      <c r="D15" s="30">
        <f t="shared" ref="D15" si="2">C15</f>
        <v>-70000</v>
      </c>
    </row>
    <row r="16" spans="1:6" x14ac:dyDescent="0.25">
      <c r="A16" s="19" t="s">
        <v>11</v>
      </c>
      <c r="B16" s="20">
        <f>B13+SUM(B14:B15)</f>
        <v>-21000</v>
      </c>
      <c r="C16" s="20">
        <f t="shared" ref="C16:D16" si="3">C13+SUM(C14:C15)</f>
        <v>58000</v>
      </c>
      <c r="D16" s="20">
        <f t="shared" si="3"/>
        <v>8000</v>
      </c>
    </row>
    <row r="17" spans="1:12" x14ac:dyDescent="0.25">
      <c r="A17" s="37" t="s">
        <v>37</v>
      </c>
      <c r="B17" s="38">
        <f>-B16*0.25</f>
        <v>5250</v>
      </c>
      <c r="C17" s="38"/>
      <c r="D17" s="38"/>
    </row>
    <row r="18" spans="1:12" x14ac:dyDescent="0.25">
      <c r="A18" s="19" t="s">
        <v>39</v>
      </c>
      <c r="B18" s="20"/>
      <c r="C18" s="20">
        <f>-C16*0.25</f>
        <v>-14500</v>
      </c>
      <c r="D18" s="20">
        <f t="shared" ref="D18" si="4">-D16*0.25</f>
        <v>-2000</v>
      </c>
    </row>
    <row r="19" spans="1:12" x14ac:dyDescent="0.25">
      <c r="A19" s="19" t="s">
        <v>14</v>
      </c>
      <c r="B19" s="20">
        <f>B16+B17+B18</f>
        <v>-15750</v>
      </c>
      <c r="C19" s="20">
        <f>C16+C17+C18</f>
        <v>43500</v>
      </c>
      <c r="D19" s="20">
        <f t="shared" ref="D19" si="5">D16+D17+D18</f>
        <v>6000</v>
      </c>
    </row>
    <row r="20" spans="1:12" x14ac:dyDescent="0.25">
      <c r="A20" s="19" t="s">
        <v>40</v>
      </c>
      <c r="B20" s="20">
        <f>B19-B15</f>
        <v>54250</v>
      </c>
      <c r="C20" s="20">
        <f t="shared" ref="C20:D20" si="6">C19-C15</f>
        <v>113500</v>
      </c>
      <c r="D20" s="20">
        <f t="shared" si="6"/>
        <v>76000</v>
      </c>
    </row>
    <row r="23" spans="1:12" x14ac:dyDescent="0.25">
      <c r="L23" s="35"/>
    </row>
    <row r="24" spans="1:12" x14ac:dyDescent="0.25">
      <c r="A24" s="6"/>
      <c r="B24" s="6" t="s">
        <v>5</v>
      </c>
      <c r="C24" s="6" t="s">
        <v>16</v>
      </c>
      <c r="D24" s="6" t="s">
        <v>17</v>
      </c>
      <c r="L24" s="36"/>
    </row>
    <row r="25" spans="1:12" x14ac:dyDescent="0.25">
      <c r="A25" s="27" t="s">
        <v>7</v>
      </c>
      <c r="B25" s="28">
        <f>B13</f>
        <v>175000</v>
      </c>
      <c r="C25" s="28">
        <f>C13</f>
        <v>416000</v>
      </c>
      <c r="D25" s="28">
        <f>D13</f>
        <v>299000</v>
      </c>
    </row>
    <row r="26" spans="1:12" x14ac:dyDescent="0.25">
      <c r="A26" s="1" t="s">
        <v>35</v>
      </c>
      <c r="B26" s="29">
        <f>B14</f>
        <v>-126000</v>
      </c>
      <c r="C26" s="29">
        <f>C14</f>
        <v>-288000</v>
      </c>
      <c r="D26" s="29">
        <f>D14</f>
        <v>-221000</v>
      </c>
    </row>
    <row r="27" spans="1:12" x14ac:dyDescent="0.25">
      <c r="A27" s="1" t="s">
        <v>36</v>
      </c>
      <c r="B27" s="30">
        <f>B15</f>
        <v>-70000</v>
      </c>
      <c r="C27" s="30">
        <f>+B27</f>
        <v>-70000</v>
      </c>
      <c r="D27" s="30">
        <f t="shared" ref="D27" si="7">+C27</f>
        <v>-70000</v>
      </c>
    </row>
    <row r="28" spans="1:12" x14ac:dyDescent="0.25">
      <c r="A28" s="19" t="s">
        <v>11</v>
      </c>
      <c r="B28" s="20">
        <f>B25+SUM(B26:B27)</f>
        <v>-21000</v>
      </c>
      <c r="C28" s="20">
        <f t="shared" ref="C28:D28" si="8">C25+SUM(C26:C27)</f>
        <v>58000</v>
      </c>
      <c r="D28" s="20">
        <f t="shared" si="8"/>
        <v>8000</v>
      </c>
    </row>
    <row r="29" spans="1:12" x14ac:dyDescent="0.25">
      <c r="A29" s="37" t="s">
        <v>38</v>
      </c>
      <c r="B29" s="40">
        <v>0</v>
      </c>
      <c r="C29" s="39">
        <f>C28+B32</f>
        <v>37000</v>
      </c>
      <c r="D29" s="39">
        <f>D28</f>
        <v>8000</v>
      </c>
    </row>
    <row r="30" spans="1:12" x14ac:dyDescent="0.25">
      <c r="A30" s="19" t="s">
        <v>39</v>
      </c>
      <c r="B30" s="33">
        <v>0</v>
      </c>
      <c r="C30" s="33">
        <f>-C29*0.25</f>
        <v>-9250</v>
      </c>
      <c r="D30" s="33">
        <f t="shared" ref="D30" si="9">-D29*0.25</f>
        <v>-2000</v>
      </c>
    </row>
    <row r="31" spans="1:12" x14ac:dyDescent="0.25">
      <c r="A31" s="19" t="s">
        <v>14</v>
      </c>
      <c r="B31" s="33">
        <f>B28+B30</f>
        <v>-21000</v>
      </c>
      <c r="C31" s="33">
        <f t="shared" ref="C31:D31" si="10">C28+C30</f>
        <v>48750</v>
      </c>
      <c r="D31" s="33">
        <f t="shared" si="10"/>
        <v>6000</v>
      </c>
    </row>
    <row r="32" spans="1:12" x14ac:dyDescent="0.25">
      <c r="A32" s="37" t="s">
        <v>41</v>
      </c>
      <c r="B32" s="39">
        <f>B31</f>
        <v>-21000</v>
      </c>
      <c r="C32" s="34">
        <v>0</v>
      </c>
      <c r="D32" s="34"/>
    </row>
    <row r="33" spans="1:4" x14ac:dyDescent="0.25">
      <c r="A33" s="19" t="s">
        <v>40</v>
      </c>
      <c r="B33" s="33">
        <f>B31-B27</f>
        <v>49000</v>
      </c>
      <c r="C33" s="33">
        <f t="shared" ref="C33:D33" si="11">C31-C27</f>
        <v>118750</v>
      </c>
      <c r="D33" s="33">
        <f t="shared" si="11"/>
        <v>76000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CC51-A94C-4079-B0FF-E3C88AC2643D}">
  <dimension ref="A2:J85"/>
  <sheetViews>
    <sheetView showGridLines="0" topLeftCell="A2" workbookViewId="0">
      <selection activeCell="M11" sqref="M11"/>
    </sheetView>
  </sheetViews>
  <sheetFormatPr baseColWidth="10" defaultRowHeight="15" x14ac:dyDescent="0.25"/>
  <cols>
    <col min="1" max="1" width="34.5703125" bestFit="1" customWidth="1"/>
    <col min="2" max="2" width="15.28515625" bestFit="1" customWidth="1"/>
    <col min="3" max="6" width="13" bestFit="1" customWidth="1"/>
    <col min="7" max="7" width="14.85546875" bestFit="1" customWidth="1"/>
    <col min="8" max="8" width="4.28515625" customWidth="1"/>
    <col min="9" max="9" width="34.5703125" bestFit="1" customWidth="1"/>
    <col min="10" max="10" width="12.7109375" bestFit="1" customWidth="1"/>
    <col min="15" max="15" width="12.7109375" bestFit="1" customWidth="1"/>
  </cols>
  <sheetData>
    <row r="2" spans="1:9" x14ac:dyDescent="0.25">
      <c r="B2" s="41"/>
    </row>
    <row r="3" spans="1:9" x14ac:dyDescent="0.25">
      <c r="A3" s="6"/>
      <c r="B3" s="6" t="s">
        <v>5</v>
      </c>
      <c r="C3" s="6" t="s">
        <v>16</v>
      </c>
      <c r="D3" s="6" t="s">
        <v>17</v>
      </c>
      <c r="E3" s="6" t="s">
        <v>18</v>
      </c>
      <c r="F3" s="6" t="s">
        <v>19</v>
      </c>
    </row>
    <row r="4" spans="1:9" x14ac:dyDescent="0.25">
      <c r="A4" s="6" t="s">
        <v>43</v>
      </c>
      <c r="B4" s="6">
        <v>2000</v>
      </c>
      <c r="C4" s="6">
        <v>2200</v>
      </c>
      <c r="D4" s="6">
        <f>C4*1.1</f>
        <v>2420</v>
      </c>
      <c r="E4" s="6">
        <f>D4*1.1</f>
        <v>2662</v>
      </c>
      <c r="F4" s="6">
        <f>E4</f>
        <v>2662</v>
      </c>
    </row>
    <row r="5" spans="1:9" x14ac:dyDescent="0.25">
      <c r="I5" s="63" t="s">
        <v>44</v>
      </c>
    </row>
    <row r="6" spans="1:9" x14ac:dyDescent="0.25">
      <c r="A6" s="42" t="s">
        <v>45</v>
      </c>
      <c r="I6" s="64">
        <v>790</v>
      </c>
    </row>
    <row r="7" spans="1:9" x14ac:dyDescent="0.25">
      <c r="A7" s="6"/>
      <c r="B7" s="6" t="s">
        <v>5</v>
      </c>
      <c r="C7" s="6" t="s">
        <v>16</v>
      </c>
      <c r="D7" s="6" t="s">
        <v>17</v>
      </c>
      <c r="E7" s="6" t="s">
        <v>18</v>
      </c>
      <c r="F7" s="6" t="s">
        <v>19</v>
      </c>
      <c r="I7" s="65" t="s">
        <v>34</v>
      </c>
    </row>
    <row r="8" spans="1:9" x14ac:dyDescent="0.25">
      <c r="A8" s="27" t="s">
        <v>7</v>
      </c>
      <c r="B8" s="28">
        <f t="shared" ref="B8:F8" si="0">B4*$I$6</f>
        <v>1580000</v>
      </c>
      <c r="C8" s="28">
        <f t="shared" si="0"/>
        <v>1738000</v>
      </c>
      <c r="D8" s="28">
        <f t="shared" si="0"/>
        <v>1911800</v>
      </c>
      <c r="E8" s="28">
        <f t="shared" si="0"/>
        <v>2102980</v>
      </c>
      <c r="F8" s="28">
        <f t="shared" si="0"/>
        <v>2102980</v>
      </c>
      <c r="I8" s="66">
        <v>660</v>
      </c>
    </row>
    <row r="9" spans="1:9" x14ac:dyDescent="0.25">
      <c r="A9" s="1" t="s">
        <v>35</v>
      </c>
      <c r="B9" s="43">
        <f>$I$8*B4</f>
        <v>1320000</v>
      </c>
      <c r="C9" s="43">
        <f t="shared" ref="C9:F9" si="1">$I$8*C4</f>
        <v>1452000</v>
      </c>
      <c r="D9" s="43">
        <f t="shared" si="1"/>
        <v>1597200</v>
      </c>
      <c r="E9" s="43">
        <f t="shared" si="1"/>
        <v>1756920</v>
      </c>
      <c r="F9" s="43">
        <f t="shared" si="1"/>
        <v>1756920</v>
      </c>
      <c r="I9" s="67" t="s">
        <v>46</v>
      </c>
    </row>
    <row r="10" spans="1:9" x14ac:dyDescent="0.25">
      <c r="A10" s="1" t="s">
        <v>36</v>
      </c>
      <c r="B10" s="3">
        <f>I10/I12</f>
        <v>140000</v>
      </c>
      <c r="C10" s="3">
        <f>B10</f>
        <v>140000</v>
      </c>
      <c r="D10" s="3">
        <f t="shared" ref="D10:F10" si="2">C10</f>
        <v>140000</v>
      </c>
      <c r="E10" s="3">
        <f t="shared" si="2"/>
        <v>140000</v>
      </c>
      <c r="F10" s="3">
        <f t="shared" si="2"/>
        <v>140000</v>
      </c>
      <c r="I10" s="68">
        <v>700000</v>
      </c>
    </row>
    <row r="11" spans="1:9" x14ac:dyDescent="0.25">
      <c r="A11" s="19" t="s">
        <v>11</v>
      </c>
      <c r="B11" s="20">
        <f>B8-SUM(B9:B10)</f>
        <v>120000</v>
      </c>
      <c r="C11" s="20">
        <f t="shared" ref="C11:F11" si="3">C8-SUM(C9:C10)</f>
        <v>146000</v>
      </c>
      <c r="D11" s="20">
        <f t="shared" si="3"/>
        <v>174600</v>
      </c>
      <c r="E11" s="20">
        <f t="shared" si="3"/>
        <v>206060</v>
      </c>
      <c r="F11" s="20">
        <f t="shared" si="3"/>
        <v>206060</v>
      </c>
      <c r="I11" s="69" t="s">
        <v>47</v>
      </c>
    </row>
    <row r="12" spans="1:9" x14ac:dyDescent="0.25">
      <c r="A12" s="19" t="s">
        <v>39</v>
      </c>
      <c r="B12" s="20">
        <f>B11*0.25</f>
        <v>30000</v>
      </c>
      <c r="C12" s="20">
        <f t="shared" ref="C12:F12" si="4">C11*0.25</f>
        <v>36500</v>
      </c>
      <c r="D12" s="20">
        <f t="shared" si="4"/>
        <v>43650</v>
      </c>
      <c r="E12" s="20">
        <f t="shared" si="4"/>
        <v>51515</v>
      </c>
      <c r="F12" s="20">
        <f t="shared" si="4"/>
        <v>51515</v>
      </c>
      <c r="I12" s="69">
        <v>5</v>
      </c>
    </row>
    <row r="13" spans="1:9" x14ac:dyDescent="0.25">
      <c r="A13" s="19" t="s">
        <v>14</v>
      </c>
      <c r="B13" s="20">
        <f>B11-B12</f>
        <v>90000</v>
      </c>
      <c r="C13" s="20">
        <f t="shared" ref="C13:F13" si="5">C11-C12</f>
        <v>109500</v>
      </c>
      <c r="D13" s="20">
        <f t="shared" si="5"/>
        <v>130950</v>
      </c>
      <c r="E13" s="20">
        <f t="shared" si="5"/>
        <v>154545</v>
      </c>
      <c r="F13" s="20">
        <f t="shared" si="5"/>
        <v>154545</v>
      </c>
    </row>
    <row r="14" spans="1:9" x14ac:dyDescent="0.25">
      <c r="A14" s="19" t="s">
        <v>40</v>
      </c>
      <c r="B14" s="20">
        <f>B13+B10</f>
        <v>230000</v>
      </c>
      <c r="C14" s="20">
        <f t="shared" ref="C14:F14" si="6">C13+C10</f>
        <v>249500</v>
      </c>
      <c r="D14" s="20">
        <f t="shared" si="6"/>
        <v>270950</v>
      </c>
      <c r="E14" s="20">
        <f t="shared" si="6"/>
        <v>294545</v>
      </c>
      <c r="F14" s="20">
        <f t="shared" si="6"/>
        <v>294545</v>
      </c>
      <c r="G14" s="25">
        <f>SUM(B14:F14)</f>
        <v>1339540</v>
      </c>
    </row>
    <row r="19" spans="1:8" x14ac:dyDescent="0.25">
      <c r="A19" s="6"/>
      <c r="B19" s="6" t="s">
        <v>15</v>
      </c>
      <c r="C19" s="6" t="s">
        <v>5</v>
      </c>
      <c r="D19" s="6" t="s">
        <v>16</v>
      </c>
      <c r="E19" s="6" t="s">
        <v>17</v>
      </c>
      <c r="F19" s="6" t="s">
        <v>18</v>
      </c>
      <c r="G19" s="6" t="s">
        <v>19</v>
      </c>
      <c r="H19" s="44"/>
    </row>
    <row r="20" spans="1:8" x14ac:dyDescent="0.25">
      <c r="A20" s="6" t="s">
        <v>20</v>
      </c>
      <c r="B20" s="1"/>
      <c r="C20" s="1"/>
      <c r="D20" s="1"/>
      <c r="E20" s="1"/>
      <c r="F20" s="1"/>
      <c r="G20" s="1"/>
      <c r="H20" s="45"/>
    </row>
    <row r="21" spans="1:8" x14ac:dyDescent="0.25">
      <c r="A21" s="1" t="s">
        <v>13</v>
      </c>
      <c r="B21" s="1"/>
      <c r="C21" s="46">
        <f>B14</f>
        <v>230000</v>
      </c>
      <c r="D21" s="46">
        <f>C14</f>
        <v>249500</v>
      </c>
      <c r="E21" s="46">
        <f>D14</f>
        <v>270950</v>
      </c>
      <c r="F21" s="46">
        <f>E14</f>
        <v>294545</v>
      </c>
      <c r="G21" s="46">
        <f>F14</f>
        <v>294545</v>
      </c>
      <c r="H21" s="35"/>
    </row>
    <row r="22" spans="1:8" x14ac:dyDescent="0.25">
      <c r="A22" s="1" t="s">
        <v>48</v>
      </c>
      <c r="B22" s="1"/>
      <c r="C22" s="20"/>
      <c r="D22" s="20"/>
      <c r="E22" s="20"/>
      <c r="F22" s="20"/>
      <c r="G22" s="20">
        <f>50000-(25%*(50000-(I10-SUM(B10:F10))))</f>
        <v>37500</v>
      </c>
      <c r="H22" s="35"/>
    </row>
    <row r="23" spans="1:8" x14ac:dyDescent="0.25">
      <c r="A23" s="1" t="s">
        <v>22</v>
      </c>
      <c r="B23" s="1"/>
      <c r="C23" s="20"/>
      <c r="D23" s="20"/>
      <c r="E23" s="20"/>
      <c r="F23" s="20"/>
      <c r="G23" s="20">
        <f>-B27</f>
        <v>263333.33333333331</v>
      </c>
      <c r="H23" s="47"/>
    </row>
    <row r="24" spans="1:8" x14ac:dyDescent="0.25">
      <c r="A24" s="19" t="s">
        <v>4</v>
      </c>
      <c r="B24" s="3">
        <f>SUM(B21:B23)</f>
        <v>0</v>
      </c>
      <c r="C24" s="3">
        <f t="shared" ref="C24:G24" si="7">SUM(C21:C23)</f>
        <v>230000</v>
      </c>
      <c r="D24" s="3">
        <f t="shared" si="7"/>
        <v>249500</v>
      </c>
      <c r="E24" s="3">
        <f t="shared" si="7"/>
        <v>270950</v>
      </c>
      <c r="F24" s="3">
        <f t="shared" si="7"/>
        <v>294545</v>
      </c>
      <c r="G24" s="3">
        <f t="shared" si="7"/>
        <v>595378.33333333326</v>
      </c>
      <c r="H24" s="48"/>
    </row>
    <row r="25" spans="1:8" x14ac:dyDescent="0.25">
      <c r="A25" s="19" t="s">
        <v>23</v>
      </c>
      <c r="B25" s="1"/>
      <c r="C25" s="20"/>
      <c r="D25" s="20"/>
      <c r="E25" s="20"/>
      <c r="F25" s="20"/>
      <c r="G25" s="20"/>
      <c r="H25" s="35"/>
    </row>
    <row r="26" spans="1:8" x14ac:dyDescent="0.25">
      <c r="A26" s="19" t="s">
        <v>24</v>
      </c>
      <c r="B26" s="3">
        <f>-I10</f>
        <v>-700000</v>
      </c>
      <c r="C26" s="20"/>
      <c r="D26" s="20"/>
      <c r="E26" s="20"/>
      <c r="F26" s="20"/>
      <c r="G26" s="20"/>
      <c r="H26" s="35"/>
    </row>
    <row r="27" spans="1:8" x14ac:dyDescent="0.25">
      <c r="A27" s="19" t="s">
        <v>25</v>
      </c>
      <c r="B27" s="20">
        <f>-2/12*B8</f>
        <v>-263333.33333333331</v>
      </c>
      <c r="C27" s="20"/>
      <c r="D27" s="20"/>
      <c r="E27" s="20"/>
      <c r="F27" s="20"/>
      <c r="G27" s="20"/>
      <c r="H27" s="35"/>
    </row>
    <row r="28" spans="1:8" x14ac:dyDescent="0.25">
      <c r="A28" s="19" t="s">
        <v>4</v>
      </c>
      <c r="B28" s="20">
        <f>SUM(B26:B27)</f>
        <v>-963333.33333333326</v>
      </c>
      <c r="C28" s="20">
        <f t="shared" ref="C28:G28" si="8">SUM(C26:C27)</f>
        <v>0</v>
      </c>
      <c r="D28" s="20">
        <f t="shared" si="8"/>
        <v>0</v>
      </c>
      <c r="E28" s="20">
        <f t="shared" si="8"/>
        <v>0</v>
      </c>
      <c r="F28" s="20">
        <f t="shared" si="8"/>
        <v>0</v>
      </c>
      <c r="G28" s="20">
        <f t="shared" si="8"/>
        <v>0</v>
      </c>
      <c r="H28" s="35"/>
    </row>
    <row r="29" spans="1:8" x14ac:dyDescent="0.25">
      <c r="A29" s="37" t="s">
        <v>26</v>
      </c>
      <c r="B29" s="38">
        <f>B24+B28</f>
        <v>-963333.33333333326</v>
      </c>
      <c r="C29" s="38">
        <f t="shared" ref="C29:G29" si="9">C24-C28</f>
        <v>230000</v>
      </c>
      <c r="D29" s="38">
        <f t="shared" si="9"/>
        <v>249500</v>
      </c>
      <c r="E29" s="38">
        <f t="shared" si="9"/>
        <v>270950</v>
      </c>
      <c r="F29" s="38">
        <f t="shared" si="9"/>
        <v>294545</v>
      </c>
      <c r="G29" s="38">
        <f t="shared" si="9"/>
        <v>595378.33333333326</v>
      </c>
      <c r="H29" s="35"/>
    </row>
    <row r="30" spans="1:8" x14ac:dyDescent="0.25">
      <c r="A30" s="49" t="s">
        <v>27</v>
      </c>
      <c r="B30" s="50">
        <f>B29</f>
        <v>-963333.33333333326</v>
      </c>
      <c r="C30" s="50">
        <f>C29*(1+$B$35)^-1</f>
        <v>209090.90909090909</v>
      </c>
      <c r="D30" s="50">
        <f>D29*(1+$B$35)^-2</f>
        <v>206198.34710743799</v>
      </c>
      <c r="E30" s="50">
        <f>E29*(1+$B$35)^-3</f>
        <v>203568.74530428243</v>
      </c>
      <c r="F30" s="50">
        <f>F29*(1+$B$35)^-4</f>
        <v>201178.19821050469</v>
      </c>
      <c r="G30" s="50">
        <f>G29*(1+$B$35)^-5</f>
        <v>369683.10245408787</v>
      </c>
      <c r="H30" s="35"/>
    </row>
    <row r="31" spans="1:8" x14ac:dyDescent="0.25">
      <c r="A31" s="51" t="s">
        <v>49</v>
      </c>
      <c r="B31" s="52">
        <f>SUM(B29:G29)</f>
        <v>677040</v>
      </c>
      <c r="C31" s="35"/>
      <c r="D31" s="35"/>
      <c r="E31" s="35"/>
      <c r="F31" s="35"/>
      <c r="G31" s="35"/>
      <c r="H31" s="35"/>
    </row>
    <row r="32" spans="1:8" x14ac:dyDescent="0.25">
      <c r="A32" s="53"/>
      <c r="B32" s="35"/>
      <c r="C32" s="35"/>
      <c r="D32" s="35"/>
      <c r="E32" s="35"/>
      <c r="F32" s="35"/>
      <c r="G32" s="35"/>
      <c r="H32" s="35"/>
    </row>
    <row r="33" spans="1:9" x14ac:dyDescent="0.25">
      <c r="A33" s="53"/>
      <c r="B33" s="35"/>
      <c r="C33" s="35"/>
      <c r="D33" s="35"/>
      <c r="E33" s="35"/>
      <c r="F33" s="35"/>
      <c r="G33" s="35"/>
      <c r="H33" s="35"/>
    </row>
    <row r="34" spans="1:9" x14ac:dyDescent="0.25">
      <c r="A34" s="53" t="s">
        <v>51</v>
      </c>
      <c r="B34" s="35"/>
      <c r="C34" s="35"/>
      <c r="D34" s="35"/>
      <c r="E34" s="35"/>
      <c r="F34" s="35"/>
      <c r="G34" s="35"/>
      <c r="H34" s="35"/>
    </row>
    <row r="35" spans="1:9" x14ac:dyDescent="0.25">
      <c r="A35" s="53" t="s">
        <v>52</v>
      </c>
      <c r="B35" s="54">
        <v>0.1</v>
      </c>
    </row>
    <row r="36" spans="1:9" x14ac:dyDescent="0.25">
      <c r="A36" s="55" t="s">
        <v>53</v>
      </c>
      <c r="B36" s="56">
        <f>SUM(B30:G30)</f>
        <v>226385.96883388879</v>
      </c>
      <c r="H36" s="5"/>
    </row>
    <row r="37" spans="1:9" x14ac:dyDescent="0.25">
      <c r="A37" s="35">
        <f>NPV(B35,C29:G29)+B30</f>
        <v>226385.96883388865</v>
      </c>
    </row>
    <row r="39" spans="1:9" x14ac:dyDescent="0.25">
      <c r="A39" s="6"/>
      <c r="B39" s="6" t="s">
        <v>5</v>
      </c>
      <c r="C39" s="6" t="s">
        <v>16</v>
      </c>
      <c r="D39" s="6" t="s">
        <v>17</v>
      </c>
      <c r="E39" s="6" t="s">
        <v>18</v>
      </c>
      <c r="F39" s="6" t="s">
        <v>19</v>
      </c>
    </row>
    <row r="40" spans="1:9" x14ac:dyDescent="0.25">
      <c r="A40" s="6" t="s">
        <v>43</v>
      </c>
      <c r="B40" s="6">
        <v>2000</v>
      </c>
      <c r="C40" s="6">
        <v>2200</v>
      </c>
      <c r="D40" s="6">
        <f>C40*1.1</f>
        <v>2420</v>
      </c>
      <c r="E40" s="6">
        <f>D40*1.1</f>
        <v>2662</v>
      </c>
      <c r="F40" s="6">
        <f>E40</f>
        <v>2662</v>
      </c>
    </row>
    <row r="41" spans="1:9" x14ac:dyDescent="0.25">
      <c r="I41" s="71" t="s">
        <v>44</v>
      </c>
    </row>
    <row r="42" spans="1:9" x14ac:dyDescent="0.25">
      <c r="A42" s="42" t="s">
        <v>54</v>
      </c>
      <c r="I42" s="72">
        <v>790</v>
      </c>
    </row>
    <row r="43" spans="1:9" x14ac:dyDescent="0.25">
      <c r="A43" s="6"/>
      <c r="B43" s="6" t="s">
        <v>5</v>
      </c>
      <c r="C43" s="6" t="s">
        <v>16</v>
      </c>
      <c r="D43" s="6" t="s">
        <v>17</v>
      </c>
      <c r="E43" s="6" t="s">
        <v>18</v>
      </c>
      <c r="F43" s="6" t="s">
        <v>19</v>
      </c>
      <c r="I43" s="65" t="s">
        <v>34</v>
      </c>
    </row>
    <row r="44" spans="1:9" x14ac:dyDescent="0.25">
      <c r="A44" s="27" t="s">
        <v>7</v>
      </c>
      <c r="B44" s="28">
        <f t="shared" ref="B44:F44" si="10">B40*$I$6</f>
        <v>1580000</v>
      </c>
      <c r="C44" s="28">
        <f t="shared" si="10"/>
        <v>1738000</v>
      </c>
      <c r="D44" s="28">
        <f t="shared" si="10"/>
        <v>1911800</v>
      </c>
      <c r="E44" s="28">
        <f t="shared" si="10"/>
        <v>2102980</v>
      </c>
      <c r="F44" s="28">
        <f t="shared" si="10"/>
        <v>2102980</v>
      </c>
      <c r="I44" s="66">
        <v>680</v>
      </c>
    </row>
    <row r="45" spans="1:9" x14ac:dyDescent="0.25">
      <c r="A45" s="1" t="s">
        <v>35</v>
      </c>
      <c r="B45" s="43">
        <f>$I$44*B40</f>
        <v>1360000</v>
      </c>
      <c r="C45" s="43">
        <f t="shared" ref="C45:F45" si="11">$I$44*C40</f>
        <v>1496000</v>
      </c>
      <c r="D45" s="43">
        <f t="shared" si="11"/>
        <v>1645600</v>
      </c>
      <c r="E45" s="43">
        <f t="shared" si="11"/>
        <v>1810160</v>
      </c>
      <c r="F45" s="43">
        <f t="shared" si="11"/>
        <v>1810160</v>
      </c>
      <c r="I45" s="67" t="s">
        <v>46</v>
      </c>
    </row>
    <row r="46" spans="1:9" x14ac:dyDescent="0.25">
      <c r="A46" s="1" t="s">
        <v>36</v>
      </c>
      <c r="B46" s="3">
        <f>I46/I48</f>
        <v>90000</v>
      </c>
      <c r="C46" s="3">
        <f>B46</f>
        <v>90000</v>
      </c>
      <c r="D46" s="3">
        <f t="shared" ref="D46:F46" si="12">C46</f>
        <v>90000</v>
      </c>
      <c r="E46" s="3">
        <f t="shared" si="12"/>
        <v>90000</v>
      </c>
      <c r="F46" s="3">
        <f t="shared" si="12"/>
        <v>90000</v>
      </c>
      <c r="I46" s="68">
        <v>450000</v>
      </c>
    </row>
    <row r="47" spans="1:9" x14ac:dyDescent="0.25">
      <c r="A47" s="19" t="s">
        <v>11</v>
      </c>
      <c r="B47" s="20">
        <f>B44-SUM(B45:B46)</f>
        <v>130000</v>
      </c>
      <c r="C47" s="20">
        <f t="shared" ref="C47" si="13">C44-SUM(C45:C46)</f>
        <v>152000</v>
      </c>
      <c r="D47" s="20">
        <f t="shared" ref="D47:F47" si="14">D44-SUM(D45:D46)</f>
        <v>176200</v>
      </c>
      <c r="E47" s="20">
        <f t="shared" si="14"/>
        <v>202820</v>
      </c>
      <c r="F47" s="20">
        <f t="shared" si="14"/>
        <v>202820</v>
      </c>
      <c r="I47" s="69" t="s">
        <v>47</v>
      </c>
    </row>
    <row r="48" spans="1:9" x14ac:dyDescent="0.25">
      <c r="A48" s="19" t="s">
        <v>39</v>
      </c>
      <c r="B48" s="20">
        <f>B47*0.25</f>
        <v>32500</v>
      </c>
      <c r="C48" s="20">
        <f t="shared" ref="C48:F48" si="15">C47*0.25</f>
        <v>38000</v>
      </c>
      <c r="D48" s="20">
        <f t="shared" si="15"/>
        <v>44050</v>
      </c>
      <c r="E48" s="20">
        <f t="shared" si="15"/>
        <v>50705</v>
      </c>
      <c r="F48" s="20">
        <f t="shared" si="15"/>
        <v>50705</v>
      </c>
      <c r="I48" s="69">
        <v>5</v>
      </c>
    </row>
    <row r="49" spans="1:7" x14ac:dyDescent="0.25">
      <c r="A49" s="19" t="s">
        <v>14</v>
      </c>
      <c r="B49" s="20">
        <f>B47-B48</f>
        <v>97500</v>
      </c>
      <c r="C49" s="20">
        <f t="shared" ref="C49:F49" si="16">C47-C48</f>
        <v>114000</v>
      </c>
      <c r="D49" s="20">
        <f t="shared" si="16"/>
        <v>132150</v>
      </c>
      <c r="E49" s="20">
        <f t="shared" si="16"/>
        <v>152115</v>
      </c>
      <c r="F49" s="20">
        <f t="shared" si="16"/>
        <v>152115</v>
      </c>
    </row>
    <row r="50" spans="1:7" x14ac:dyDescent="0.25">
      <c r="A50" s="19" t="s">
        <v>40</v>
      </c>
      <c r="B50" s="20">
        <f>B49+B46</f>
        <v>187500</v>
      </c>
      <c r="C50" s="20">
        <f t="shared" ref="C50:F50" si="17">C49+C46</f>
        <v>204000</v>
      </c>
      <c r="D50" s="20">
        <f t="shared" si="17"/>
        <v>222150</v>
      </c>
      <c r="E50" s="20">
        <f t="shared" si="17"/>
        <v>242115</v>
      </c>
      <c r="F50" s="20">
        <f t="shared" si="17"/>
        <v>242115</v>
      </c>
      <c r="G50" s="25"/>
    </row>
    <row r="52" spans="1:7" x14ac:dyDescent="0.25">
      <c r="A52" s="6"/>
      <c r="B52" s="6" t="s">
        <v>15</v>
      </c>
      <c r="C52" s="6" t="s">
        <v>5</v>
      </c>
      <c r="D52" s="6" t="s">
        <v>16</v>
      </c>
      <c r="E52" s="6" t="s">
        <v>17</v>
      </c>
      <c r="F52" s="6" t="s">
        <v>18</v>
      </c>
      <c r="G52" s="6" t="s">
        <v>19</v>
      </c>
    </row>
    <row r="53" spans="1:7" x14ac:dyDescent="0.25">
      <c r="A53" s="6" t="s">
        <v>20</v>
      </c>
      <c r="B53" s="1"/>
      <c r="C53" s="8"/>
      <c r="D53" s="8"/>
      <c r="E53" s="8"/>
      <c r="F53" s="8"/>
      <c r="G53" s="8"/>
    </row>
    <row r="54" spans="1:7" x14ac:dyDescent="0.25">
      <c r="A54" s="9" t="s">
        <v>13</v>
      </c>
      <c r="B54" s="9"/>
      <c r="C54" s="10">
        <f>B50</f>
        <v>187500</v>
      </c>
      <c r="D54" s="10">
        <f t="shared" ref="D54:G54" si="18">C50</f>
        <v>204000</v>
      </c>
      <c r="E54" s="10">
        <f t="shared" si="18"/>
        <v>222150</v>
      </c>
      <c r="F54" s="10">
        <f t="shared" si="18"/>
        <v>242115</v>
      </c>
      <c r="G54" s="10">
        <f t="shared" si="18"/>
        <v>242115</v>
      </c>
    </row>
    <row r="55" spans="1:7" x14ac:dyDescent="0.25">
      <c r="A55" s="9" t="s">
        <v>21</v>
      </c>
      <c r="B55" s="9"/>
      <c r="C55" s="10"/>
      <c r="D55" s="10"/>
      <c r="E55" s="10"/>
      <c r="F55" s="10"/>
      <c r="G55" s="10">
        <v>0</v>
      </c>
    </row>
    <row r="56" spans="1:7" x14ac:dyDescent="0.25">
      <c r="A56" s="9" t="s">
        <v>22</v>
      </c>
      <c r="B56" s="9"/>
      <c r="C56" s="11"/>
      <c r="D56" s="11"/>
      <c r="E56" s="11"/>
      <c r="F56" s="11"/>
      <c r="G56" s="11">
        <f>-B60</f>
        <v>263333.33333333331</v>
      </c>
    </row>
    <row r="57" spans="1:7" x14ac:dyDescent="0.25">
      <c r="A57" s="12" t="s">
        <v>4</v>
      </c>
      <c r="B57" s="12">
        <f>SUM(B54:B56)</f>
        <v>0</v>
      </c>
      <c r="C57" s="13">
        <f t="shared" ref="C57:G57" si="19">SUM(C54:C56)</f>
        <v>187500</v>
      </c>
      <c r="D57" s="13">
        <f t="shared" si="19"/>
        <v>204000</v>
      </c>
      <c r="E57" s="13">
        <f t="shared" si="19"/>
        <v>222150</v>
      </c>
      <c r="F57" s="13">
        <f t="shared" si="19"/>
        <v>242115</v>
      </c>
      <c r="G57" s="13">
        <f t="shared" si="19"/>
        <v>505448.33333333331</v>
      </c>
    </row>
    <row r="58" spans="1:7" x14ac:dyDescent="0.25">
      <c r="A58" s="14" t="s">
        <v>23</v>
      </c>
      <c r="B58" s="14"/>
      <c r="C58" s="15"/>
      <c r="D58" s="15"/>
      <c r="E58" s="15"/>
      <c r="F58" s="15"/>
      <c r="G58" s="15"/>
    </row>
    <row r="59" spans="1:7" x14ac:dyDescent="0.25">
      <c r="A59" s="14" t="s">
        <v>24</v>
      </c>
      <c r="B59" s="16">
        <f>-I46</f>
        <v>-450000</v>
      </c>
      <c r="C59" s="15"/>
      <c r="D59" s="15"/>
      <c r="E59" s="15"/>
      <c r="F59" s="15"/>
      <c r="G59" s="15"/>
    </row>
    <row r="60" spans="1:7" x14ac:dyDescent="0.25">
      <c r="A60" s="14" t="s">
        <v>25</v>
      </c>
      <c r="B60" s="15">
        <f>B27</f>
        <v>-263333.33333333331</v>
      </c>
      <c r="C60" s="15"/>
      <c r="D60" s="15"/>
      <c r="E60" s="15"/>
      <c r="F60" s="15"/>
      <c r="G60" s="15"/>
    </row>
    <row r="61" spans="1:7" x14ac:dyDescent="0.25">
      <c r="A61" s="17" t="s">
        <v>4</v>
      </c>
      <c r="B61" s="18">
        <f>SUM(B59:B60)</f>
        <v>-713333.33333333326</v>
      </c>
      <c r="C61" s="18">
        <f t="shared" ref="C61:G61" si="20">SUM(C59:C60)</f>
        <v>0</v>
      </c>
      <c r="D61" s="18">
        <f t="shared" si="20"/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</row>
    <row r="62" spans="1:7" x14ac:dyDescent="0.25">
      <c r="A62" s="19" t="s">
        <v>26</v>
      </c>
      <c r="B62" s="20">
        <f>B61</f>
        <v>-713333.33333333326</v>
      </c>
      <c r="C62" s="20">
        <f t="shared" ref="C62:G62" si="21">C57-C61</f>
        <v>187500</v>
      </c>
      <c r="D62" s="20">
        <f t="shared" si="21"/>
        <v>204000</v>
      </c>
      <c r="E62" s="20">
        <f t="shared" si="21"/>
        <v>222150</v>
      </c>
      <c r="F62" s="20">
        <f t="shared" si="21"/>
        <v>242115</v>
      </c>
      <c r="G62" s="20">
        <f t="shared" si="21"/>
        <v>505448.33333333331</v>
      </c>
    </row>
    <row r="63" spans="1:7" x14ac:dyDescent="0.25">
      <c r="A63" s="7" t="s">
        <v>27</v>
      </c>
      <c r="B63" s="21">
        <f>B62</f>
        <v>-713333.33333333326</v>
      </c>
      <c r="C63" s="21">
        <f>C62*(1+$B$35)^-1</f>
        <v>170454.54545454544</v>
      </c>
      <c r="D63" s="21">
        <f>D62*(1+$B$35)^-2</f>
        <v>168595.04132231403</v>
      </c>
      <c r="E63" s="21">
        <f>E62*(1+$B$35)^-3</f>
        <v>166904.58302028544</v>
      </c>
      <c r="F63" s="21">
        <f>F62*(1+$B$35)^-4</f>
        <v>165367.80274571406</v>
      </c>
      <c r="G63" s="21">
        <f>G62*(1+$B$35)^-5</f>
        <v>313843.64787137805</v>
      </c>
    </row>
    <row r="64" spans="1:7" x14ac:dyDescent="0.25">
      <c r="A64" s="53" t="s">
        <v>49</v>
      </c>
      <c r="B64" s="48"/>
    </row>
    <row r="65" spans="1:10" x14ac:dyDescent="0.25">
      <c r="A65" s="53" t="s">
        <v>50</v>
      </c>
      <c r="B65" s="35">
        <f>SUM(B62:G62)</f>
        <v>647880</v>
      </c>
    </row>
    <row r="66" spans="1:10" x14ac:dyDescent="0.25">
      <c r="A66" s="48"/>
      <c r="B66" s="48"/>
    </row>
    <row r="67" spans="1:10" x14ac:dyDescent="0.25">
      <c r="A67" s="53" t="s">
        <v>51</v>
      </c>
      <c r="B67" s="48"/>
    </row>
    <row r="68" spans="1:10" x14ac:dyDescent="0.25">
      <c r="A68" s="53" t="s">
        <v>52</v>
      </c>
      <c r="B68" s="57">
        <v>0.1</v>
      </c>
    </row>
    <row r="69" spans="1:10" x14ac:dyDescent="0.25">
      <c r="A69" s="48" t="s">
        <v>53</v>
      </c>
      <c r="B69" s="35">
        <f>SUM(B63:G63)</f>
        <v>271832.28708090377</v>
      </c>
    </row>
    <row r="70" spans="1:10" x14ac:dyDescent="0.25">
      <c r="A70" s="35">
        <f>B63+NPV(B68,C62:G62)</f>
        <v>271832.28708090377</v>
      </c>
      <c r="B70" s="48"/>
    </row>
    <row r="73" spans="1:10" x14ac:dyDescent="0.25">
      <c r="A73" t="s">
        <v>55</v>
      </c>
      <c r="B73" s="58">
        <f>IRR(B62:G62)</f>
        <v>0.21779187358672814</v>
      </c>
      <c r="J73" s="58"/>
    </row>
    <row r="76" spans="1:10" x14ac:dyDescent="0.25">
      <c r="A76" t="s">
        <v>56</v>
      </c>
    </row>
    <row r="77" spans="1:10" x14ac:dyDescent="0.25">
      <c r="A77" s="59" t="s">
        <v>5</v>
      </c>
      <c r="B77" s="35">
        <f>C63</f>
        <v>170454.54545454544</v>
      </c>
      <c r="C77" s="35"/>
      <c r="D77" s="35"/>
      <c r="E77" s="35"/>
      <c r="F77" s="35"/>
      <c r="G77" s="35"/>
      <c r="H77" s="35"/>
    </row>
    <row r="78" spans="1:10" x14ac:dyDescent="0.25">
      <c r="A78" s="59" t="s">
        <v>16</v>
      </c>
      <c r="B78" s="35">
        <f>B77+D63</f>
        <v>339049.58677685948</v>
      </c>
      <c r="C78" s="35"/>
      <c r="D78" s="35"/>
      <c r="E78" s="35"/>
      <c r="F78" s="35"/>
      <c r="G78" s="35"/>
      <c r="H78" s="35"/>
    </row>
    <row r="79" spans="1:10" x14ac:dyDescent="0.25">
      <c r="A79" s="59" t="s">
        <v>17</v>
      </c>
      <c r="B79" s="35">
        <f>B78+E63</f>
        <v>505954.16979714495</v>
      </c>
      <c r="C79" s="35"/>
      <c r="D79" s="35"/>
      <c r="E79" s="35"/>
      <c r="F79" s="35"/>
      <c r="G79" s="35"/>
      <c r="H79" s="35"/>
    </row>
    <row r="80" spans="1:10" x14ac:dyDescent="0.25">
      <c r="A80" s="59" t="s">
        <v>18</v>
      </c>
      <c r="B80" s="35">
        <f>B79+F63</f>
        <v>671321.97254285903</v>
      </c>
      <c r="D80" s="35"/>
    </row>
    <row r="81" spans="1:8" x14ac:dyDescent="0.25">
      <c r="A81" s="59" t="s">
        <v>19</v>
      </c>
      <c r="B81" s="73"/>
      <c r="C81" s="35"/>
      <c r="E81" s="60"/>
      <c r="F81" s="35"/>
      <c r="G81" s="61"/>
      <c r="H81" s="61"/>
    </row>
    <row r="85" spans="1:8" x14ac:dyDescent="0.25">
      <c r="A85" t="s">
        <v>57</v>
      </c>
      <c r="B85" s="62">
        <f>SUM(C30:G30)/275000</f>
        <v>4.3262520078808073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20A4-D943-4DD4-8E6B-82BD5A28B3F4}">
  <dimension ref="A1:E35"/>
  <sheetViews>
    <sheetView showGridLines="0" workbookViewId="0">
      <selection activeCell="I27" sqref="I27"/>
    </sheetView>
  </sheetViews>
  <sheetFormatPr baseColWidth="10" defaultRowHeight="15" x14ac:dyDescent="0.25"/>
  <cols>
    <col min="1" max="1" width="36.42578125" customWidth="1"/>
    <col min="2" max="2" width="19.7109375" bestFit="1" customWidth="1"/>
    <col min="3" max="4" width="15.140625" bestFit="1" customWidth="1"/>
  </cols>
  <sheetData>
    <row r="1" spans="1:4" x14ac:dyDescent="0.25">
      <c r="A1" t="s">
        <v>58</v>
      </c>
      <c r="B1">
        <v>30000</v>
      </c>
    </row>
    <row r="2" spans="1:4" x14ac:dyDescent="0.25">
      <c r="A2" t="s">
        <v>29</v>
      </c>
    </row>
    <row r="3" spans="1:4" x14ac:dyDescent="0.25">
      <c r="A3" t="s">
        <v>30</v>
      </c>
      <c r="B3">
        <v>350000</v>
      </c>
      <c r="D3" t="s">
        <v>59</v>
      </c>
    </row>
    <row r="5" spans="1:4" x14ac:dyDescent="0.25">
      <c r="A5" s="3" t="s">
        <v>7</v>
      </c>
      <c r="B5" s="3">
        <v>100000</v>
      </c>
      <c r="C5" s="3">
        <v>160000</v>
      </c>
      <c r="D5" s="3">
        <v>200000</v>
      </c>
    </row>
    <row r="6" spans="1:4" x14ac:dyDescent="0.25">
      <c r="A6" s="3" t="s">
        <v>35</v>
      </c>
      <c r="B6" s="3">
        <f>50000</f>
        <v>50000</v>
      </c>
      <c r="C6" s="3">
        <v>80000</v>
      </c>
      <c r="D6" s="3">
        <f>D5*0.5</f>
        <v>100000</v>
      </c>
    </row>
    <row r="9" spans="1:4" x14ac:dyDescent="0.25">
      <c r="A9" s="6"/>
      <c r="B9" s="6" t="s">
        <v>5</v>
      </c>
      <c r="C9" s="6" t="s">
        <v>16</v>
      </c>
      <c r="D9" s="6" t="s">
        <v>17</v>
      </c>
    </row>
    <row r="10" spans="1:4" x14ac:dyDescent="0.25">
      <c r="A10" s="27" t="s">
        <v>7</v>
      </c>
      <c r="B10" s="28">
        <f t="shared" ref="B10:D11" si="0">+B5</f>
        <v>100000</v>
      </c>
      <c r="C10" s="28">
        <f t="shared" si="0"/>
        <v>160000</v>
      </c>
      <c r="D10" s="28">
        <f t="shared" si="0"/>
        <v>200000</v>
      </c>
    </row>
    <row r="11" spans="1:4" x14ac:dyDescent="0.25">
      <c r="A11" s="1" t="s">
        <v>35</v>
      </c>
      <c r="B11" s="28">
        <f t="shared" si="0"/>
        <v>50000</v>
      </c>
      <c r="C11" s="28">
        <f t="shared" si="0"/>
        <v>80000</v>
      </c>
      <c r="D11" s="28">
        <f t="shared" si="0"/>
        <v>100000</v>
      </c>
    </row>
    <row r="12" spans="1:4" x14ac:dyDescent="0.25">
      <c r="A12" s="1" t="s">
        <v>36</v>
      </c>
      <c r="B12" s="3">
        <f>$B$3/5</f>
        <v>70000</v>
      </c>
      <c r="C12" s="3">
        <f t="shared" ref="C12:D12" si="1">$B$3/5</f>
        <v>70000</v>
      </c>
      <c r="D12" s="3">
        <f t="shared" si="1"/>
        <v>70000</v>
      </c>
    </row>
    <row r="13" spans="1:4" x14ac:dyDescent="0.25">
      <c r="A13" s="19" t="s">
        <v>11</v>
      </c>
      <c r="B13" s="20">
        <f>B10-B11-B12</f>
        <v>-20000</v>
      </c>
      <c r="C13" s="20">
        <f>C10-C11-C12</f>
        <v>10000</v>
      </c>
      <c r="D13" s="20">
        <f>D10-D11-D12</f>
        <v>30000</v>
      </c>
    </row>
    <row r="14" spans="1:4" x14ac:dyDescent="0.25">
      <c r="A14" s="19" t="s">
        <v>37</v>
      </c>
      <c r="B14" s="20">
        <f>B13*0.25</f>
        <v>-5000</v>
      </c>
      <c r="C14" s="20"/>
      <c r="D14" s="20"/>
    </row>
    <row r="15" spans="1:4" x14ac:dyDescent="0.25">
      <c r="A15" s="19" t="s">
        <v>39</v>
      </c>
      <c r="B15" s="20"/>
      <c r="C15" s="20">
        <f>C13*0.25</f>
        <v>2500</v>
      </c>
      <c r="D15" s="20">
        <f>D13*0.25</f>
        <v>7500</v>
      </c>
    </row>
    <row r="16" spans="1:4" x14ac:dyDescent="0.25">
      <c r="A16" s="19" t="s">
        <v>14</v>
      </c>
      <c r="B16" s="20">
        <f>B13-B14</f>
        <v>-15000</v>
      </c>
      <c r="C16" s="20">
        <f>C13-C15</f>
        <v>7500</v>
      </c>
      <c r="D16" s="20">
        <f>D13-D15</f>
        <v>22500</v>
      </c>
    </row>
    <row r="17" spans="1:5" x14ac:dyDescent="0.25">
      <c r="A17" s="19" t="s">
        <v>40</v>
      </c>
      <c r="B17" s="20">
        <f>B16+B12</f>
        <v>55000</v>
      </c>
      <c r="C17" s="20">
        <f>C16+C12</f>
        <v>77500</v>
      </c>
      <c r="D17" s="20">
        <f>D16+D12</f>
        <v>92500</v>
      </c>
    </row>
    <row r="20" spans="1:5" x14ac:dyDescent="0.25">
      <c r="A20" s="6"/>
      <c r="B20" s="6" t="s">
        <v>15</v>
      </c>
      <c r="C20" s="6" t="s">
        <v>5</v>
      </c>
      <c r="D20" s="6" t="s">
        <v>16</v>
      </c>
      <c r="E20" s="6" t="s">
        <v>17</v>
      </c>
    </row>
    <row r="21" spans="1:5" x14ac:dyDescent="0.25">
      <c r="A21" s="6" t="s">
        <v>20</v>
      </c>
      <c r="B21" s="1"/>
      <c r="C21" s="8"/>
      <c r="D21" s="8"/>
      <c r="E21" s="8"/>
    </row>
    <row r="22" spans="1:5" x14ac:dyDescent="0.25">
      <c r="A22" s="1" t="s">
        <v>13</v>
      </c>
      <c r="B22" s="1"/>
      <c r="C22" s="20">
        <f>B17</f>
        <v>55000</v>
      </c>
      <c r="D22" s="20">
        <f>C17</f>
        <v>77500</v>
      </c>
      <c r="E22" s="20">
        <f>D17</f>
        <v>92500</v>
      </c>
    </row>
    <row r="23" spans="1:5" x14ac:dyDescent="0.25">
      <c r="A23" s="1" t="s">
        <v>60</v>
      </c>
      <c r="B23" s="1"/>
      <c r="C23" s="20"/>
      <c r="D23" s="20"/>
      <c r="E23" s="20">
        <f>200000-(200000-140000)*0.25</f>
        <v>185000</v>
      </c>
    </row>
    <row r="24" spans="1:5" x14ac:dyDescent="0.25">
      <c r="A24" s="1" t="s">
        <v>61</v>
      </c>
      <c r="B24" s="1">
        <f>B1</f>
        <v>30000</v>
      </c>
      <c r="C24" s="3"/>
      <c r="D24" s="3"/>
      <c r="E24" s="3"/>
    </row>
    <row r="25" spans="1:5" x14ac:dyDescent="0.25">
      <c r="A25" s="19" t="s">
        <v>4</v>
      </c>
      <c r="B25" s="1">
        <f>SUM(B22:B24)</f>
        <v>30000</v>
      </c>
      <c r="C25" s="3">
        <f t="shared" ref="C25:E25" si="2">SUM(C22:C24)</f>
        <v>55000</v>
      </c>
      <c r="D25" s="3">
        <f t="shared" si="2"/>
        <v>77500</v>
      </c>
      <c r="E25" s="3">
        <f t="shared" si="2"/>
        <v>277500</v>
      </c>
    </row>
    <row r="26" spans="1:5" x14ac:dyDescent="0.25">
      <c r="A26" s="19" t="s">
        <v>23</v>
      </c>
      <c r="B26" s="1"/>
      <c r="C26" s="20"/>
      <c r="D26" s="20"/>
      <c r="E26" s="20"/>
    </row>
    <row r="27" spans="1:5" x14ac:dyDescent="0.25">
      <c r="A27" s="19" t="s">
        <v>24</v>
      </c>
      <c r="B27" s="3">
        <f>B3</f>
        <v>350000</v>
      </c>
      <c r="C27" s="20"/>
      <c r="D27" s="20"/>
      <c r="E27" s="20"/>
    </row>
    <row r="28" spans="1:5" x14ac:dyDescent="0.25">
      <c r="A28" s="19" t="s">
        <v>62</v>
      </c>
      <c r="B28" s="20"/>
      <c r="C28" s="20"/>
      <c r="D28" s="20"/>
      <c r="E28" s="20">
        <f>B24</f>
        <v>30000</v>
      </c>
    </row>
    <row r="29" spans="1:5" x14ac:dyDescent="0.25">
      <c r="A29" s="19" t="s">
        <v>4</v>
      </c>
      <c r="B29" s="20">
        <f>SUM(B27:B28)</f>
        <v>350000</v>
      </c>
      <c r="C29" s="20">
        <f t="shared" ref="C29:E29" si="3">SUM(C27:C28)</f>
        <v>0</v>
      </c>
      <c r="D29" s="20">
        <f t="shared" si="3"/>
        <v>0</v>
      </c>
      <c r="E29" s="20">
        <f t="shared" si="3"/>
        <v>30000</v>
      </c>
    </row>
    <row r="30" spans="1:5" x14ac:dyDescent="0.25">
      <c r="A30" s="19" t="s">
        <v>26</v>
      </c>
      <c r="B30" s="20">
        <f>B25-B29</f>
        <v>-320000</v>
      </c>
      <c r="C30" s="20">
        <f t="shared" ref="C30:E30" si="4">C25-C29</f>
        <v>55000</v>
      </c>
      <c r="D30" s="20">
        <f t="shared" si="4"/>
        <v>77500</v>
      </c>
      <c r="E30" s="20">
        <f t="shared" si="4"/>
        <v>247500</v>
      </c>
    </row>
    <row r="31" spans="1:5" x14ac:dyDescent="0.25">
      <c r="A31" s="7" t="s">
        <v>27</v>
      </c>
      <c r="B31" s="21">
        <f>B30</f>
        <v>-320000</v>
      </c>
      <c r="C31" s="21">
        <f>C30*(1+$B$33)^-1</f>
        <v>51886.792452830181</v>
      </c>
      <c r="D31" s="21">
        <f>D30*(1+$B$33)^-2</f>
        <v>68974.72410110358</v>
      </c>
      <c r="E31" s="21">
        <f>E30*(1+$B$33)^-3</f>
        <v>207805.77255049464</v>
      </c>
    </row>
    <row r="33" spans="1:2" x14ac:dyDescent="0.25">
      <c r="A33" t="s">
        <v>63</v>
      </c>
      <c r="B33" s="54">
        <v>0.06</v>
      </c>
    </row>
    <row r="34" spans="1:2" x14ac:dyDescent="0.25">
      <c r="A34" t="s">
        <v>53</v>
      </c>
      <c r="B34" s="25">
        <f>SUM(B31:E31)</f>
        <v>8667.2891044284042</v>
      </c>
    </row>
    <row r="35" spans="1:2" x14ac:dyDescent="0.25">
      <c r="B35" s="41">
        <f>NPV(B33,C30:E30)+B30</f>
        <v>8667.2891044284333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727C-0FF7-4D53-93E3-8250C5A02164}">
  <dimension ref="A1:S51"/>
  <sheetViews>
    <sheetView showGridLines="0" topLeftCell="A15" workbookViewId="0">
      <selection activeCell="D50" sqref="D50"/>
    </sheetView>
  </sheetViews>
  <sheetFormatPr baseColWidth="10" defaultRowHeight="15" x14ac:dyDescent="0.25"/>
  <cols>
    <col min="1" max="1" width="29" customWidth="1"/>
    <col min="2" max="2" width="19" customWidth="1"/>
    <col min="3" max="3" width="15.140625" bestFit="1" customWidth="1"/>
    <col min="4" max="4" width="19.42578125" customWidth="1"/>
    <col min="5" max="5" width="16" customWidth="1"/>
    <col min="6" max="6" width="15.28515625" customWidth="1"/>
    <col min="7" max="7" width="18" customWidth="1"/>
    <col min="8" max="8" width="5.28515625" customWidth="1"/>
    <col min="9" max="9" width="26" customWidth="1"/>
    <col min="10" max="10" width="13.5703125" customWidth="1"/>
    <col min="11" max="11" width="14" customWidth="1"/>
    <col min="12" max="13" width="12" bestFit="1" customWidth="1"/>
    <col min="14" max="14" width="13" customWidth="1"/>
    <col min="15" max="15" width="14.85546875" customWidth="1"/>
  </cols>
  <sheetData>
    <row r="1" spans="1:14" x14ac:dyDescent="0.25">
      <c r="H1" s="70"/>
    </row>
    <row r="2" spans="1:14" x14ac:dyDescent="0.25">
      <c r="H2" s="70"/>
    </row>
    <row r="3" spans="1:14" x14ac:dyDescent="0.25">
      <c r="A3" t="s">
        <v>30</v>
      </c>
      <c r="B3" s="4">
        <v>6600000</v>
      </c>
      <c r="C3">
        <v>8</v>
      </c>
      <c r="D3" s="101" t="s">
        <v>66</v>
      </c>
      <c r="E3" s="101"/>
      <c r="F3" s="101"/>
      <c r="H3" s="70"/>
      <c r="I3" s="26">
        <f>B3-SUM(B16:F16)</f>
        <v>2975000</v>
      </c>
    </row>
    <row r="4" spans="1:14" x14ac:dyDescent="0.25">
      <c r="A4" t="s">
        <v>31</v>
      </c>
      <c r="B4" s="4">
        <v>800000</v>
      </c>
      <c r="H4" s="70"/>
    </row>
    <row r="5" spans="1:14" x14ac:dyDescent="0.25">
      <c r="H5" s="70"/>
    </row>
    <row r="6" spans="1:14" x14ac:dyDescent="0.25">
      <c r="A6" s="1"/>
      <c r="B6" s="6" t="s">
        <v>5</v>
      </c>
      <c r="C6" s="6" t="s">
        <v>16</v>
      </c>
      <c r="D6" s="6" t="s">
        <v>17</v>
      </c>
      <c r="E6" s="6" t="s">
        <v>18</v>
      </c>
      <c r="F6" s="6" t="s">
        <v>19</v>
      </c>
      <c r="H6" s="70"/>
    </row>
    <row r="7" spans="1:14" x14ac:dyDescent="0.25">
      <c r="A7" s="1" t="s">
        <v>32</v>
      </c>
      <c r="B7" s="1">
        <v>3000</v>
      </c>
      <c r="C7" s="1">
        <v>8000</v>
      </c>
      <c r="D7" s="1">
        <v>8000</v>
      </c>
      <c r="E7" s="1">
        <v>6000</v>
      </c>
      <c r="F7" s="1">
        <v>4800</v>
      </c>
      <c r="H7" s="70"/>
    </row>
    <row r="8" spans="1:14" x14ac:dyDescent="0.25">
      <c r="A8" s="1" t="s">
        <v>33</v>
      </c>
      <c r="B8" s="2">
        <v>500</v>
      </c>
      <c r="C8" s="2">
        <v>500</v>
      </c>
      <c r="D8" s="2">
        <v>450</v>
      </c>
      <c r="E8" s="2">
        <v>450</v>
      </c>
      <c r="F8" s="2">
        <v>450</v>
      </c>
      <c r="H8" s="70"/>
    </row>
    <row r="9" spans="1:14" x14ac:dyDescent="0.25">
      <c r="A9" s="1" t="s">
        <v>34</v>
      </c>
      <c r="B9" s="2">
        <v>300</v>
      </c>
      <c r="C9" s="2">
        <v>300</v>
      </c>
      <c r="D9" s="2">
        <v>300</v>
      </c>
      <c r="E9" s="2">
        <v>300</v>
      </c>
      <c r="F9" s="2">
        <v>300</v>
      </c>
      <c r="H9" s="70"/>
    </row>
    <row r="10" spans="1:14" x14ac:dyDescent="0.25">
      <c r="H10" s="70"/>
    </row>
    <row r="11" spans="1:14" x14ac:dyDescent="0.25">
      <c r="H11" s="70"/>
    </row>
    <row r="12" spans="1:14" x14ac:dyDescent="0.25">
      <c r="A12" s="104" t="s">
        <v>68</v>
      </c>
      <c r="B12" s="104"/>
      <c r="C12" s="104"/>
      <c r="D12" s="104"/>
      <c r="E12" s="104"/>
      <c r="F12" s="104"/>
      <c r="H12" s="70"/>
      <c r="I12" s="104" t="s">
        <v>67</v>
      </c>
      <c r="J12" s="104"/>
      <c r="K12" s="104"/>
      <c r="L12" s="104"/>
      <c r="M12" s="104"/>
      <c r="N12" s="104"/>
    </row>
    <row r="13" spans="1:14" x14ac:dyDescent="0.25">
      <c r="A13" s="6"/>
      <c r="B13" s="6" t="s">
        <v>5</v>
      </c>
      <c r="C13" s="6" t="s">
        <v>16</v>
      </c>
      <c r="D13" s="6" t="s">
        <v>17</v>
      </c>
      <c r="E13" s="6" t="s">
        <v>18</v>
      </c>
      <c r="F13" s="6" t="s">
        <v>19</v>
      </c>
      <c r="H13" s="70"/>
      <c r="I13" s="6"/>
      <c r="J13" s="6" t="s">
        <v>5</v>
      </c>
      <c r="K13" s="6" t="s">
        <v>16</v>
      </c>
      <c r="L13" s="6" t="s">
        <v>17</v>
      </c>
      <c r="M13" s="6" t="s">
        <v>18</v>
      </c>
      <c r="N13" s="6" t="s">
        <v>19</v>
      </c>
    </row>
    <row r="14" spans="1:14" x14ac:dyDescent="0.25">
      <c r="A14" s="27" t="s">
        <v>7</v>
      </c>
      <c r="B14" s="28">
        <f>+B7*B8</f>
        <v>1500000</v>
      </c>
      <c r="C14" s="28">
        <f t="shared" ref="C14:F14" si="0">+C7*C8</f>
        <v>4000000</v>
      </c>
      <c r="D14" s="28">
        <f t="shared" si="0"/>
        <v>3600000</v>
      </c>
      <c r="E14" s="28">
        <f t="shared" si="0"/>
        <v>2700000</v>
      </c>
      <c r="F14" s="28">
        <f t="shared" si="0"/>
        <v>2160000</v>
      </c>
      <c r="H14" s="70"/>
      <c r="I14" s="27" t="s">
        <v>7</v>
      </c>
      <c r="J14" s="28">
        <f>B14</f>
        <v>1500000</v>
      </c>
      <c r="K14" s="28">
        <f>C14</f>
        <v>4000000</v>
      </c>
      <c r="L14" s="28">
        <f>D14</f>
        <v>3600000</v>
      </c>
      <c r="M14" s="28">
        <f>E14</f>
        <v>2700000</v>
      </c>
      <c r="N14" s="28">
        <f>F14</f>
        <v>2160000</v>
      </c>
    </row>
    <row r="15" spans="1:14" x14ac:dyDescent="0.25">
      <c r="A15" s="1" t="s">
        <v>35</v>
      </c>
      <c r="B15" s="102">
        <f>B7*B9</f>
        <v>900000</v>
      </c>
      <c r="C15" s="102">
        <f>C7*C9</f>
        <v>2400000</v>
      </c>
      <c r="D15" s="102">
        <f>D7*D9</f>
        <v>2400000</v>
      </c>
      <c r="E15" s="102">
        <f>E7*E9</f>
        <v>1800000</v>
      </c>
      <c r="F15" s="102">
        <f>F7*F9</f>
        <v>1440000</v>
      </c>
      <c r="H15" s="70"/>
      <c r="I15" s="1" t="s">
        <v>35</v>
      </c>
      <c r="J15" s="102">
        <f>B15</f>
        <v>900000</v>
      </c>
      <c r="K15" s="102">
        <f>C15</f>
        <v>2400000</v>
      </c>
      <c r="L15" s="102">
        <f>D15</f>
        <v>2400000</v>
      </c>
      <c r="M15" s="102">
        <f>E15</f>
        <v>1800000</v>
      </c>
      <c r="N15" s="102">
        <f>F15</f>
        <v>1440000</v>
      </c>
    </row>
    <row r="16" spans="1:14" x14ac:dyDescent="0.25">
      <c r="A16" s="1" t="s">
        <v>36</v>
      </c>
      <c r="B16" s="79">
        <f>(B3-B4)/8</f>
        <v>725000</v>
      </c>
      <c r="C16" s="79">
        <f>B16</f>
        <v>725000</v>
      </c>
      <c r="D16" s="79">
        <f t="shared" ref="D16:F16" si="1">C16</f>
        <v>725000</v>
      </c>
      <c r="E16" s="79">
        <f t="shared" si="1"/>
        <v>725000</v>
      </c>
      <c r="F16" s="79">
        <f t="shared" si="1"/>
        <v>725000</v>
      </c>
      <c r="H16" s="70"/>
      <c r="I16" s="1" t="s">
        <v>36</v>
      </c>
      <c r="J16" s="79">
        <f>B16</f>
        <v>725000</v>
      </c>
      <c r="K16" s="79">
        <f>+J16</f>
        <v>725000</v>
      </c>
      <c r="L16" s="79">
        <f t="shared" ref="L16:N16" si="2">+K16</f>
        <v>725000</v>
      </c>
      <c r="M16" s="79">
        <f t="shared" si="2"/>
        <v>725000</v>
      </c>
      <c r="N16" s="79">
        <f t="shared" si="2"/>
        <v>725000</v>
      </c>
    </row>
    <row r="17" spans="1:14" x14ac:dyDescent="0.25">
      <c r="A17" s="19" t="s">
        <v>11</v>
      </c>
      <c r="B17" s="103">
        <f>B14-SUM(B15:B16)</f>
        <v>-125000</v>
      </c>
      <c r="C17" s="20">
        <f t="shared" ref="C17:F17" si="3">C14-SUM(C15:C16)</f>
        <v>875000</v>
      </c>
      <c r="D17" s="20">
        <f t="shared" si="3"/>
        <v>475000</v>
      </c>
      <c r="E17" s="20">
        <f t="shared" si="3"/>
        <v>175000</v>
      </c>
      <c r="F17" s="20">
        <f t="shared" si="3"/>
        <v>-5000</v>
      </c>
      <c r="H17" s="70"/>
      <c r="I17" s="19" t="s">
        <v>11</v>
      </c>
      <c r="J17" s="20">
        <f>J14-SUM(J15:J16)</f>
        <v>-125000</v>
      </c>
      <c r="K17" s="20">
        <f t="shared" ref="K17:N17" si="4">K14-SUM(K15:K16)</f>
        <v>875000</v>
      </c>
      <c r="L17" s="20">
        <f t="shared" si="4"/>
        <v>475000</v>
      </c>
      <c r="M17" s="20">
        <f t="shared" si="4"/>
        <v>175000</v>
      </c>
      <c r="N17" s="20">
        <f t="shared" si="4"/>
        <v>-5000</v>
      </c>
    </row>
    <row r="18" spans="1:14" x14ac:dyDescent="0.25">
      <c r="A18" s="19" t="s">
        <v>37</v>
      </c>
      <c r="B18" s="20">
        <f>-B17*0.25</f>
        <v>31250</v>
      </c>
      <c r="C18" s="20"/>
      <c r="D18" s="20"/>
      <c r="E18" s="1"/>
      <c r="F18" s="20">
        <f>-F17*0.25</f>
        <v>1250</v>
      </c>
      <c r="H18" s="70"/>
      <c r="I18" s="19" t="s">
        <v>38</v>
      </c>
      <c r="J18" s="31">
        <v>0</v>
      </c>
      <c r="K18" s="32">
        <f>K17+J17</f>
        <v>750000</v>
      </c>
      <c r="L18" s="32">
        <f>L17</f>
        <v>475000</v>
      </c>
      <c r="M18" s="32">
        <f t="shared" ref="M18:N18" si="5">M17</f>
        <v>175000</v>
      </c>
      <c r="N18" s="32">
        <f t="shared" si="5"/>
        <v>-5000</v>
      </c>
    </row>
    <row r="19" spans="1:14" x14ac:dyDescent="0.25">
      <c r="A19" s="19" t="s">
        <v>39</v>
      </c>
      <c r="B19" s="20"/>
      <c r="C19" s="20">
        <f>-C17*0.25</f>
        <v>-218750</v>
      </c>
      <c r="D19" s="20">
        <f t="shared" ref="D19:E19" si="6">-D17*0.25</f>
        <v>-118750</v>
      </c>
      <c r="E19" s="20">
        <f t="shared" si="6"/>
        <v>-43750</v>
      </c>
      <c r="F19" s="20"/>
      <c r="H19" s="70"/>
      <c r="I19" s="19" t="s">
        <v>39</v>
      </c>
      <c r="J19" s="33">
        <v>0</v>
      </c>
      <c r="K19" s="33">
        <f>-K18*0.25</f>
        <v>-187500</v>
      </c>
      <c r="L19" s="33">
        <f t="shared" ref="L19:M19" si="7">-L18*0.25</f>
        <v>-118750</v>
      </c>
      <c r="M19" s="33">
        <f t="shared" si="7"/>
        <v>-43750</v>
      </c>
      <c r="N19" s="33">
        <v>0</v>
      </c>
    </row>
    <row r="20" spans="1:14" x14ac:dyDescent="0.25">
      <c r="A20" s="19" t="s">
        <v>14</v>
      </c>
      <c r="B20" s="20">
        <f>B17+B18+B19</f>
        <v>-93750</v>
      </c>
      <c r="C20" s="20">
        <f>C17+C18+C19</f>
        <v>656250</v>
      </c>
      <c r="D20" s="20">
        <f t="shared" ref="D20:F20" si="8">D17+D18+D19</f>
        <v>356250</v>
      </c>
      <c r="E20" s="20">
        <f t="shared" si="8"/>
        <v>131250</v>
      </c>
      <c r="F20" s="20">
        <f t="shared" si="8"/>
        <v>-3750</v>
      </c>
      <c r="H20" s="70"/>
      <c r="I20" s="19" t="s">
        <v>14</v>
      </c>
      <c r="J20" s="33">
        <f>J17+J19</f>
        <v>-125000</v>
      </c>
      <c r="K20" s="33">
        <f t="shared" ref="K20:N20" si="9">K17+K19</f>
        <v>687500</v>
      </c>
      <c r="L20" s="33">
        <f t="shared" si="9"/>
        <v>356250</v>
      </c>
      <c r="M20" s="33">
        <f t="shared" si="9"/>
        <v>131250</v>
      </c>
      <c r="N20" s="33">
        <f t="shared" si="9"/>
        <v>-5000</v>
      </c>
    </row>
    <row r="21" spans="1:14" x14ac:dyDescent="0.25">
      <c r="A21" s="19" t="s">
        <v>40</v>
      </c>
      <c r="B21" s="20">
        <f>B17+B18+B16</f>
        <v>631250</v>
      </c>
      <c r="C21" s="20">
        <f>C20+C16</f>
        <v>1381250</v>
      </c>
      <c r="D21" s="20">
        <f t="shared" ref="D21:E21" si="10">D20+D16</f>
        <v>1081250</v>
      </c>
      <c r="E21" s="20">
        <f t="shared" si="10"/>
        <v>856250</v>
      </c>
      <c r="F21" s="20">
        <f>F20+F18+F16</f>
        <v>722500</v>
      </c>
      <c r="H21" s="70"/>
      <c r="I21" s="19" t="s">
        <v>41</v>
      </c>
      <c r="J21" s="33">
        <f>J20</f>
        <v>-125000</v>
      </c>
      <c r="K21" s="34">
        <v>0</v>
      </c>
      <c r="L21" s="34"/>
      <c r="M21" s="34"/>
      <c r="N21" s="34"/>
    </row>
    <row r="22" spans="1:14" x14ac:dyDescent="0.25">
      <c r="H22" s="70"/>
      <c r="I22" s="19" t="s">
        <v>40</v>
      </c>
      <c r="J22" s="33">
        <f>J20+J16</f>
        <v>600000</v>
      </c>
      <c r="K22" s="33">
        <f>K20+K16</f>
        <v>1412500</v>
      </c>
      <c r="L22" s="33">
        <f t="shared" ref="K22:N22" si="11">L20+L16</f>
        <v>1081250</v>
      </c>
      <c r="M22" s="33">
        <f t="shared" si="11"/>
        <v>856250</v>
      </c>
      <c r="N22" s="33">
        <f t="shared" si="11"/>
        <v>720000</v>
      </c>
    </row>
    <row r="23" spans="1:14" x14ac:dyDescent="0.25">
      <c r="H23" s="70"/>
      <c r="I23" s="53"/>
      <c r="J23" s="105"/>
      <c r="K23" s="105"/>
      <c r="L23" s="105"/>
      <c r="M23" s="105"/>
      <c r="N23" s="105"/>
    </row>
    <row r="24" spans="1:14" x14ac:dyDescent="0.25">
      <c r="H24" s="70"/>
      <c r="I24" s="53"/>
      <c r="J24" s="105"/>
      <c r="K24" s="105"/>
      <c r="L24" s="105"/>
      <c r="M24" s="105"/>
      <c r="N24" s="105"/>
    </row>
    <row r="25" spans="1:14" x14ac:dyDescent="0.25">
      <c r="H25" s="70"/>
      <c r="I25" s="53"/>
      <c r="J25" s="105"/>
      <c r="K25" s="105"/>
      <c r="L25" s="105"/>
      <c r="M25" s="105"/>
      <c r="N25" s="105"/>
    </row>
    <row r="26" spans="1:14" x14ac:dyDescent="0.25">
      <c r="H26" s="70"/>
      <c r="I26" s="53"/>
      <c r="J26" s="105"/>
      <c r="K26" s="105"/>
      <c r="L26" s="105"/>
      <c r="M26" s="105"/>
      <c r="N26" s="105"/>
    </row>
    <row r="27" spans="1:14" x14ac:dyDescent="0.25">
      <c r="H27" s="70"/>
      <c r="I27" s="53"/>
      <c r="J27" s="105"/>
      <c r="K27" s="105"/>
      <c r="L27" s="105"/>
      <c r="M27" s="105"/>
      <c r="N27" s="105"/>
    </row>
    <row r="28" spans="1:14" x14ac:dyDescent="0.25">
      <c r="H28" s="70"/>
      <c r="I28" s="53"/>
      <c r="J28" s="105"/>
      <c r="K28" s="105"/>
      <c r="L28" s="105"/>
      <c r="M28" s="105"/>
      <c r="N28" s="105"/>
    </row>
    <row r="29" spans="1:14" x14ac:dyDescent="0.25">
      <c r="H29" s="70"/>
      <c r="I29" s="53"/>
      <c r="J29" s="105"/>
      <c r="K29" s="105"/>
      <c r="L29" s="105"/>
      <c r="M29" s="105"/>
      <c r="N29" s="105"/>
    </row>
    <row r="30" spans="1:14" x14ac:dyDescent="0.25">
      <c r="H30" s="70"/>
      <c r="I30" s="53"/>
      <c r="J30" s="105"/>
      <c r="K30" s="105"/>
      <c r="L30" s="105"/>
      <c r="M30" s="105"/>
      <c r="N30" s="105"/>
    </row>
    <row r="31" spans="1:14" x14ac:dyDescent="0.25">
      <c r="H31" s="70"/>
      <c r="I31" s="53"/>
      <c r="J31" s="105"/>
      <c r="K31" s="105"/>
      <c r="L31" s="105"/>
      <c r="M31" s="105"/>
      <c r="N31" s="105"/>
    </row>
    <row r="32" spans="1:14" x14ac:dyDescent="0.25">
      <c r="H32" s="70"/>
      <c r="I32" s="53"/>
      <c r="J32" s="105"/>
      <c r="K32" s="105"/>
      <c r="L32" s="105"/>
      <c r="M32" s="105"/>
      <c r="N32" s="105"/>
    </row>
    <row r="33" spans="1:19" x14ac:dyDescent="0.25">
      <c r="H33" s="70"/>
    </row>
    <row r="34" spans="1:19" x14ac:dyDescent="0.25">
      <c r="A34" s="6"/>
      <c r="B34" s="6" t="s">
        <v>15</v>
      </c>
      <c r="C34" s="6" t="s">
        <v>5</v>
      </c>
      <c r="D34" s="6" t="s">
        <v>16</v>
      </c>
      <c r="E34" s="6" t="s">
        <v>17</v>
      </c>
      <c r="F34" s="84" t="s">
        <v>18</v>
      </c>
      <c r="G34" s="6" t="s">
        <v>19</v>
      </c>
      <c r="H34" s="91"/>
      <c r="I34" s="89"/>
      <c r="J34" s="6" t="s">
        <v>15</v>
      </c>
      <c r="K34" s="6" t="s">
        <v>5</v>
      </c>
      <c r="L34" s="6" t="s">
        <v>16</v>
      </c>
      <c r="M34" s="6" t="s">
        <v>17</v>
      </c>
      <c r="N34" s="6" t="s">
        <v>18</v>
      </c>
      <c r="O34" s="6" t="s">
        <v>19</v>
      </c>
    </row>
    <row r="35" spans="1:19" x14ac:dyDescent="0.25">
      <c r="A35" s="6" t="s">
        <v>20</v>
      </c>
      <c r="B35" s="1"/>
      <c r="C35" s="8"/>
      <c r="D35" s="8"/>
      <c r="E35" s="8"/>
      <c r="F35" s="85"/>
      <c r="G35" s="1"/>
      <c r="H35" s="92"/>
      <c r="I35" s="6" t="s">
        <v>20</v>
      </c>
      <c r="J35" s="90"/>
      <c r="K35" s="8"/>
      <c r="L35" s="8"/>
      <c r="M35" s="8"/>
      <c r="N35" s="1"/>
      <c r="O35" s="1"/>
    </row>
    <row r="36" spans="1:19" x14ac:dyDescent="0.25">
      <c r="A36" s="1" t="s">
        <v>13</v>
      </c>
      <c r="B36" s="1"/>
      <c r="C36" s="20">
        <f>B21</f>
        <v>631250</v>
      </c>
      <c r="D36" s="20">
        <f>C21</f>
        <v>1381250</v>
      </c>
      <c r="E36" s="20">
        <f>D21</f>
        <v>1081250</v>
      </c>
      <c r="F36" s="86">
        <f>E21</f>
        <v>856250</v>
      </c>
      <c r="G36" s="20">
        <f>F21</f>
        <v>722500</v>
      </c>
      <c r="H36" s="93"/>
      <c r="I36" s="1" t="s">
        <v>13</v>
      </c>
      <c r="J36" s="95"/>
      <c r="K36" s="33">
        <f>+J22</f>
        <v>600000</v>
      </c>
      <c r="L36" s="33">
        <f>+K22</f>
        <v>1412500</v>
      </c>
      <c r="M36" s="33">
        <f>+L22</f>
        <v>1081250</v>
      </c>
      <c r="N36" s="106">
        <f>+M22</f>
        <v>856250</v>
      </c>
      <c r="O36" s="33">
        <f>+N22</f>
        <v>720000</v>
      </c>
    </row>
    <row r="37" spans="1:19" x14ac:dyDescent="0.25">
      <c r="A37" s="1" t="s">
        <v>60</v>
      </c>
      <c r="B37" s="1"/>
      <c r="C37" s="20"/>
      <c r="D37" s="20"/>
      <c r="E37" s="20"/>
      <c r="F37" s="85"/>
      <c r="G37" s="20">
        <f>3000000-(25000*0.25)</f>
        <v>2993750</v>
      </c>
      <c r="H37" s="93"/>
      <c r="I37" s="1" t="s">
        <v>64</v>
      </c>
      <c r="J37" s="95"/>
      <c r="K37" s="33"/>
      <c r="L37" s="33"/>
      <c r="M37" s="33"/>
      <c r="N37" s="107"/>
      <c r="O37" s="33">
        <f>G37</f>
        <v>2993750</v>
      </c>
    </row>
    <row r="38" spans="1:19" x14ac:dyDescent="0.25">
      <c r="A38" s="1" t="s">
        <v>22</v>
      </c>
      <c r="B38" s="1"/>
      <c r="C38" s="3"/>
      <c r="D38" s="3"/>
      <c r="E38" s="3"/>
      <c r="F38" s="85"/>
      <c r="G38" s="3">
        <v>150000</v>
      </c>
      <c r="H38" s="83"/>
      <c r="I38" s="19" t="s">
        <v>65</v>
      </c>
      <c r="J38" s="74"/>
      <c r="K38" s="74"/>
      <c r="L38" s="74"/>
      <c r="M38" s="74"/>
      <c r="N38" s="74"/>
      <c r="O38" s="33">
        <f>5000*0.25</f>
        <v>1250</v>
      </c>
    </row>
    <row r="39" spans="1:19" x14ac:dyDescent="0.25">
      <c r="A39" s="75" t="s">
        <v>4</v>
      </c>
      <c r="B39" s="76">
        <f>SUM(B36:B38)</f>
        <v>0</v>
      </c>
      <c r="C39" s="77">
        <f>SUM(C36:C38)</f>
        <v>631250</v>
      </c>
      <c r="D39" s="77">
        <f t="shared" ref="D39:G39" si="12">SUM(D36:D38)</f>
        <v>1381250</v>
      </c>
      <c r="E39" s="77">
        <f t="shared" si="12"/>
        <v>1081250</v>
      </c>
      <c r="F39" s="87">
        <f t="shared" si="12"/>
        <v>856250</v>
      </c>
      <c r="G39" s="3">
        <f t="shared" si="12"/>
        <v>3866250</v>
      </c>
      <c r="H39" s="83"/>
      <c r="I39" s="1" t="s">
        <v>22</v>
      </c>
      <c r="J39" s="96"/>
      <c r="K39" s="78"/>
      <c r="L39" s="78"/>
      <c r="M39" s="78"/>
      <c r="N39" s="108"/>
      <c r="O39" s="79">
        <v>150000</v>
      </c>
    </row>
    <row r="40" spans="1:19" x14ac:dyDescent="0.25">
      <c r="A40" s="19" t="s">
        <v>23</v>
      </c>
      <c r="B40" s="1"/>
      <c r="C40" s="20"/>
      <c r="D40" s="20"/>
      <c r="E40" s="20"/>
      <c r="G40" s="1"/>
      <c r="H40" s="92"/>
      <c r="I40" s="19" t="s">
        <v>4</v>
      </c>
      <c r="J40" s="97">
        <f t="shared" ref="J40:O40" si="13">SUM(J36:J39)</f>
        <v>0</v>
      </c>
      <c r="K40" s="80">
        <f t="shared" si="13"/>
        <v>600000</v>
      </c>
      <c r="L40" s="80">
        <f t="shared" si="13"/>
        <v>1412500</v>
      </c>
      <c r="M40" s="80">
        <f t="shared" si="13"/>
        <v>1081250</v>
      </c>
      <c r="N40" s="80">
        <f t="shared" si="13"/>
        <v>856250</v>
      </c>
      <c r="O40" s="80">
        <f t="shared" si="13"/>
        <v>3865000</v>
      </c>
      <c r="S40" s="44"/>
    </row>
    <row r="41" spans="1:19" x14ac:dyDescent="0.25">
      <c r="A41" s="19" t="s">
        <v>24</v>
      </c>
      <c r="B41" s="3">
        <f>B3</f>
        <v>6600000</v>
      </c>
      <c r="C41" s="20"/>
      <c r="D41" s="20"/>
      <c r="E41" s="20"/>
      <c r="F41" s="86"/>
      <c r="G41" s="20"/>
      <c r="H41" s="93"/>
      <c r="I41" s="19" t="s">
        <v>23</v>
      </c>
      <c r="J41" s="96"/>
      <c r="K41" s="81"/>
      <c r="L41" s="81"/>
      <c r="M41" s="81"/>
      <c r="N41" s="74"/>
      <c r="O41" s="74"/>
      <c r="S41" s="48"/>
    </row>
    <row r="42" spans="1:19" x14ac:dyDescent="0.25">
      <c r="A42" s="19" t="s">
        <v>25</v>
      </c>
      <c r="B42" s="20">
        <v>150000</v>
      </c>
      <c r="C42" s="20"/>
      <c r="D42" s="20"/>
      <c r="E42" s="20">
        <f>B38</f>
        <v>0</v>
      </c>
      <c r="F42" s="86">
        <f t="shared" ref="F42:G42" si="14">C38</f>
        <v>0</v>
      </c>
      <c r="G42" s="20">
        <f t="shared" si="14"/>
        <v>0</v>
      </c>
      <c r="H42" s="93"/>
      <c r="I42" s="19" t="s">
        <v>24</v>
      </c>
      <c r="J42" s="98">
        <f>B41</f>
        <v>6600000</v>
      </c>
      <c r="K42" s="33"/>
      <c r="L42" s="33"/>
      <c r="M42" s="33"/>
      <c r="N42" s="33"/>
      <c r="O42" s="33"/>
      <c r="S42" s="35"/>
    </row>
    <row r="43" spans="1:19" x14ac:dyDescent="0.25">
      <c r="A43" s="19" t="s">
        <v>4</v>
      </c>
      <c r="B43" s="20">
        <f>SUM(B41:B42)</f>
        <v>6750000</v>
      </c>
      <c r="C43" s="20">
        <f t="shared" ref="C43:G43" si="15">SUM(C41:C42)</f>
        <v>0</v>
      </c>
      <c r="D43" s="20">
        <f t="shared" si="15"/>
        <v>0</v>
      </c>
      <c r="E43" s="20">
        <f t="shared" si="15"/>
        <v>0</v>
      </c>
      <c r="F43" s="86">
        <f t="shared" si="15"/>
        <v>0</v>
      </c>
      <c r="G43" s="20">
        <f t="shared" si="15"/>
        <v>0</v>
      </c>
      <c r="H43" s="93"/>
      <c r="I43" s="19" t="s">
        <v>25</v>
      </c>
      <c r="J43" s="99">
        <v>150000</v>
      </c>
      <c r="K43" s="33"/>
      <c r="L43" s="33"/>
      <c r="M43" s="33">
        <f>J39</f>
        <v>0</v>
      </c>
      <c r="N43" s="33">
        <f t="shared" ref="N43:O43" si="16">K39</f>
        <v>0</v>
      </c>
      <c r="O43" s="33">
        <f t="shared" si="16"/>
        <v>0</v>
      </c>
      <c r="S43" s="35"/>
    </row>
    <row r="44" spans="1:19" x14ac:dyDescent="0.25">
      <c r="A44" s="19" t="s">
        <v>26</v>
      </c>
      <c r="B44" s="20">
        <f>B39-B43</f>
        <v>-6750000</v>
      </c>
      <c r="C44" s="20">
        <f t="shared" ref="C44:G44" si="17">C39-C43</f>
        <v>631250</v>
      </c>
      <c r="D44" s="20">
        <f t="shared" si="17"/>
        <v>1381250</v>
      </c>
      <c r="E44" s="20">
        <f t="shared" si="17"/>
        <v>1081250</v>
      </c>
      <c r="F44" s="86">
        <f t="shared" si="17"/>
        <v>856250</v>
      </c>
      <c r="G44" s="20">
        <f t="shared" si="17"/>
        <v>3866250</v>
      </c>
      <c r="H44" s="93"/>
      <c r="I44" s="19" t="s">
        <v>4</v>
      </c>
      <c r="J44" s="99">
        <f>SUM(J42:J43)</f>
        <v>6750000</v>
      </c>
      <c r="K44" s="33">
        <f t="shared" ref="K44:O44" si="18">SUM(K42:K43)</f>
        <v>0</v>
      </c>
      <c r="L44" s="33">
        <f t="shared" si="18"/>
        <v>0</v>
      </c>
      <c r="M44" s="33">
        <f t="shared" si="18"/>
        <v>0</v>
      </c>
      <c r="N44" s="33">
        <f t="shared" si="18"/>
        <v>0</v>
      </c>
      <c r="O44" s="33">
        <f t="shared" si="18"/>
        <v>0</v>
      </c>
      <c r="S44" s="47"/>
    </row>
    <row r="45" spans="1:19" x14ac:dyDescent="0.25">
      <c r="A45" s="7" t="s">
        <v>27</v>
      </c>
      <c r="B45" s="21">
        <f>B44</f>
        <v>-6750000</v>
      </c>
      <c r="C45" s="21">
        <f>C44*(1+$B$47)^-1</f>
        <v>614056.42023346305</v>
      </c>
      <c r="D45" s="21">
        <f>D44*(1+$B$47)^-2</f>
        <v>1307031.5220518101</v>
      </c>
      <c r="E45" s="21">
        <f>E44*(1+$B$47)^-3</f>
        <v>995283.4362508721</v>
      </c>
      <c r="F45" s="88">
        <f>F44*(1+$B$47)^-4</f>
        <v>766704.70055986976</v>
      </c>
      <c r="G45" s="21">
        <f>G44*(1+$B$47)^-5</f>
        <v>3367629.9225079911</v>
      </c>
      <c r="H45" s="94"/>
      <c r="I45" s="19" t="s">
        <v>26</v>
      </c>
      <c r="J45" s="99">
        <f>J40-J44</f>
        <v>-6750000</v>
      </c>
      <c r="K45" s="33">
        <f t="shared" ref="K45:O45" si="19">K40-K44</f>
        <v>600000</v>
      </c>
      <c r="L45" s="33">
        <f t="shared" si="19"/>
        <v>1412500</v>
      </c>
      <c r="M45" s="33">
        <f t="shared" si="19"/>
        <v>1081250</v>
      </c>
      <c r="N45" s="33">
        <f t="shared" si="19"/>
        <v>856250</v>
      </c>
      <c r="O45" s="33">
        <f t="shared" si="19"/>
        <v>3865000</v>
      </c>
      <c r="S45" s="47"/>
    </row>
    <row r="46" spans="1:19" x14ac:dyDescent="0.25">
      <c r="H46" s="70"/>
      <c r="I46" s="7" t="s">
        <v>27</v>
      </c>
      <c r="J46" s="100">
        <f>J45</f>
        <v>-6750000</v>
      </c>
      <c r="K46" s="82">
        <f>K45*(1+$B$47)^-1</f>
        <v>583657.58754863811</v>
      </c>
      <c r="L46" s="82">
        <f>L45*(1+$B$47)^-2</f>
        <v>1336602.3709670093</v>
      </c>
      <c r="M46" s="82">
        <f>M45*(1+$B$47)^-3</f>
        <v>995283.4362508721</v>
      </c>
      <c r="N46" s="82">
        <f>N45*(1+$B$47)^-4</f>
        <v>766704.70055986976</v>
      </c>
      <c r="O46" s="82">
        <f>O45*(1+$B$47)^-5</f>
        <v>3366541.1317150691</v>
      </c>
    </row>
    <row r="47" spans="1:19" x14ac:dyDescent="0.25">
      <c r="A47" t="s">
        <v>63</v>
      </c>
      <c r="B47" s="58">
        <v>2.8000000000000001E-2</v>
      </c>
      <c r="H47" s="70"/>
      <c r="I47" t="s">
        <v>63</v>
      </c>
      <c r="J47" s="58">
        <f>B47</f>
        <v>2.8000000000000001E-2</v>
      </c>
      <c r="S47" s="35"/>
    </row>
    <row r="48" spans="1:19" x14ac:dyDescent="0.25">
      <c r="A48" t="s">
        <v>53</v>
      </c>
      <c r="B48" s="25">
        <f>SUM(B45:G45)</f>
        <v>300706.00160400616</v>
      </c>
      <c r="H48" s="70"/>
      <c r="I48" t="s">
        <v>53</v>
      </c>
      <c r="J48" s="25">
        <f>SUM(J46:O46)</f>
        <v>298789.22704145778</v>
      </c>
      <c r="S48" s="35"/>
    </row>
    <row r="49" spans="2:19" x14ac:dyDescent="0.25">
      <c r="B49" s="41">
        <f>NPV(B47,C44:G44)+B44</f>
        <v>300706.00160400569</v>
      </c>
      <c r="H49" s="70"/>
      <c r="J49" s="41">
        <f>NPV(J47,K45:O45)+J45</f>
        <v>298789.22704145871</v>
      </c>
      <c r="S49" s="35"/>
    </row>
    <row r="50" spans="2:19" x14ac:dyDescent="0.25">
      <c r="H50" s="70"/>
      <c r="S50" s="35"/>
    </row>
    <row r="51" spans="2:19" x14ac:dyDescent="0.25">
      <c r="S51" s="36"/>
    </row>
  </sheetData>
  <mergeCells count="3">
    <mergeCell ref="D3:F3"/>
    <mergeCell ref="A12:F12"/>
    <mergeCell ref="I12:N1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A6B9-91C6-4E30-B5A4-9EE22DDC7D9D}">
  <dimension ref="A1:K36"/>
  <sheetViews>
    <sheetView showGridLines="0" workbookViewId="0">
      <selection activeCell="M8" sqref="M8"/>
    </sheetView>
  </sheetViews>
  <sheetFormatPr baseColWidth="10" defaultRowHeight="15" x14ac:dyDescent="0.25"/>
  <cols>
    <col min="1" max="1" width="29" customWidth="1"/>
    <col min="2" max="2" width="13.5703125" bestFit="1" customWidth="1"/>
    <col min="3" max="3" width="19" customWidth="1"/>
    <col min="4" max="4" width="19.42578125" customWidth="1"/>
    <col min="5" max="5" width="12" customWidth="1"/>
    <col min="6" max="6" width="16.140625" customWidth="1"/>
    <col min="7" max="7" width="13.85546875" bestFit="1" customWidth="1"/>
    <col min="8" max="8" width="8.42578125" customWidth="1"/>
    <col min="9" max="11" width="13.85546875" customWidth="1"/>
  </cols>
  <sheetData>
    <row r="1" spans="1:7" x14ac:dyDescent="0.25">
      <c r="A1" t="s">
        <v>30</v>
      </c>
      <c r="B1" s="5">
        <v>560000</v>
      </c>
      <c r="C1">
        <v>7</v>
      </c>
      <c r="D1" t="s">
        <v>69</v>
      </c>
      <c r="F1" s="5">
        <v>200000</v>
      </c>
    </row>
    <row r="2" spans="1:7" x14ac:dyDescent="0.25">
      <c r="A2" t="s">
        <v>31</v>
      </c>
      <c r="B2">
        <v>0</v>
      </c>
    </row>
    <row r="4" spans="1:7" x14ac:dyDescent="0.25">
      <c r="A4" s="1"/>
      <c r="B4" s="6" t="s">
        <v>5</v>
      </c>
      <c r="C4" s="6" t="s">
        <v>16</v>
      </c>
      <c r="D4" s="6" t="s">
        <v>17</v>
      </c>
      <c r="E4" s="6" t="s">
        <v>18</v>
      </c>
      <c r="F4" s="6" t="s">
        <v>19</v>
      </c>
    </row>
    <row r="5" spans="1:7" x14ac:dyDescent="0.25">
      <c r="A5" s="1" t="s">
        <v>32</v>
      </c>
      <c r="B5" s="1">
        <v>6000</v>
      </c>
      <c r="C5" s="1">
        <v>8500</v>
      </c>
      <c r="D5" s="1">
        <v>9000</v>
      </c>
      <c r="E5" s="1">
        <v>8200</v>
      </c>
      <c r="F5" s="1">
        <v>8000</v>
      </c>
    </row>
    <row r="6" spans="1:7" x14ac:dyDescent="0.25">
      <c r="A6" s="1" t="s">
        <v>33</v>
      </c>
      <c r="B6" s="2">
        <v>150</v>
      </c>
      <c r="C6" s="2">
        <v>150</v>
      </c>
      <c r="D6" s="2">
        <v>140</v>
      </c>
      <c r="E6" s="2">
        <v>135</v>
      </c>
      <c r="F6" s="2">
        <v>135</v>
      </c>
    </row>
    <row r="7" spans="1:7" x14ac:dyDescent="0.25">
      <c r="A7" s="1" t="s">
        <v>34</v>
      </c>
      <c r="B7" s="2">
        <v>125</v>
      </c>
      <c r="C7" s="2">
        <v>125</v>
      </c>
      <c r="D7" s="2">
        <v>125</v>
      </c>
      <c r="E7" s="2">
        <v>125</v>
      </c>
      <c r="F7" s="2">
        <v>125</v>
      </c>
    </row>
    <row r="11" spans="1:7" x14ac:dyDescent="0.25">
      <c r="A11" s="6"/>
      <c r="B11" s="6" t="s">
        <v>5</v>
      </c>
      <c r="C11" s="6" t="s">
        <v>16</v>
      </c>
      <c r="D11" s="6" t="s">
        <v>17</v>
      </c>
      <c r="E11" s="6" t="s">
        <v>18</v>
      </c>
      <c r="F11" s="6" t="s">
        <v>19</v>
      </c>
    </row>
    <row r="12" spans="1:7" x14ac:dyDescent="0.25">
      <c r="A12" s="27" t="s">
        <v>7</v>
      </c>
      <c r="B12" s="28">
        <f>+B5*B6</f>
        <v>900000</v>
      </c>
      <c r="C12" s="28">
        <f t="shared" ref="C12:F12" si="0">+C5*C6</f>
        <v>1275000</v>
      </c>
      <c r="D12" s="28">
        <f t="shared" si="0"/>
        <v>1260000</v>
      </c>
      <c r="E12" s="28">
        <f t="shared" si="0"/>
        <v>1107000</v>
      </c>
      <c r="F12" s="28">
        <f t="shared" si="0"/>
        <v>1080000</v>
      </c>
      <c r="G12" s="41">
        <f>SUM(B12:F12)/5*20%</f>
        <v>224880</v>
      </c>
    </row>
    <row r="13" spans="1:7" x14ac:dyDescent="0.25">
      <c r="A13" s="1" t="s">
        <v>35</v>
      </c>
      <c r="B13" s="29">
        <f>-B5*B7</f>
        <v>-750000</v>
      </c>
      <c r="C13" s="29">
        <f t="shared" ref="C13:F13" si="1">-C5*C7</f>
        <v>-1062500</v>
      </c>
      <c r="D13" s="29">
        <f t="shared" si="1"/>
        <v>-1125000</v>
      </c>
      <c r="E13" s="29">
        <f t="shared" si="1"/>
        <v>-1025000</v>
      </c>
      <c r="F13" s="29">
        <f t="shared" si="1"/>
        <v>-1000000</v>
      </c>
    </row>
    <row r="14" spans="1:7" x14ac:dyDescent="0.25">
      <c r="A14" s="1" t="s">
        <v>36</v>
      </c>
      <c r="B14" s="30">
        <f>-(B1-B2)/7</f>
        <v>-80000</v>
      </c>
      <c r="C14" s="30">
        <f>B14</f>
        <v>-80000</v>
      </c>
      <c r="D14" s="30">
        <f t="shared" ref="D14:F14" si="2">C14</f>
        <v>-80000</v>
      </c>
      <c r="E14" s="30">
        <f t="shared" si="2"/>
        <v>-80000</v>
      </c>
      <c r="F14" s="30">
        <f t="shared" si="2"/>
        <v>-80000</v>
      </c>
    </row>
    <row r="15" spans="1:7" x14ac:dyDescent="0.25">
      <c r="A15" s="19" t="s">
        <v>11</v>
      </c>
      <c r="B15" s="20">
        <f>B12+SUM(B13:B14)</f>
        <v>70000</v>
      </c>
      <c r="C15" s="20">
        <f t="shared" ref="C15:F15" si="3">C12+SUM(C13:C14)</f>
        <v>132500</v>
      </c>
      <c r="D15" s="20">
        <f t="shared" si="3"/>
        <v>55000</v>
      </c>
      <c r="E15" s="20">
        <f t="shared" si="3"/>
        <v>2000</v>
      </c>
      <c r="F15" s="20">
        <f t="shared" si="3"/>
        <v>0</v>
      </c>
    </row>
    <row r="16" spans="1:7" x14ac:dyDescent="0.25">
      <c r="A16" s="19" t="s">
        <v>39</v>
      </c>
      <c r="B16" s="20">
        <f>B15*0.25</f>
        <v>17500</v>
      </c>
      <c r="C16" s="20">
        <f t="shared" ref="C16:F16" si="4">C15*0.25</f>
        <v>33125</v>
      </c>
      <c r="D16" s="20">
        <f t="shared" si="4"/>
        <v>13750</v>
      </c>
      <c r="E16" s="20">
        <f t="shared" si="4"/>
        <v>500</v>
      </c>
      <c r="F16" s="20">
        <f t="shared" si="4"/>
        <v>0</v>
      </c>
    </row>
    <row r="17" spans="1:11" x14ac:dyDescent="0.25">
      <c r="A17" s="19" t="s">
        <v>14</v>
      </c>
      <c r="B17" s="20">
        <f>B15-B16</f>
        <v>52500</v>
      </c>
      <c r="C17" s="20">
        <f t="shared" ref="C17:F17" si="5">C15-C16</f>
        <v>99375</v>
      </c>
      <c r="D17" s="20">
        <f t="shared" si="5"/>
        <v>41250</v>
      </c>
      <c r="E17" s="20">
        <f t="shared" si="5"/>
        <v>1500</v>
      </c>
      <c r="F17" s="20">
        <f t="shared" si="5"/>
        <v>0</v>
      </c>
    </row>
    <row r="18" spans="1:11" x14ac:dyDescent="0.25">
      <c r="A18" s="19" t="s">
        <v>40</v>
      </c>
      <c r="B18" s="20">
        <f>B17-B14</f>
        <v>132500</v>
      </c>
      <c r="C18" s="20">
        <f>C17-C14</f>
        <v>179375</v>
      </c>
      <c r="D18" s="20">
        <f>D17-D14</f>
        <v>121250</v>
      </c>
      <c r="E18" s="20">
        <f>E17-E14</f>
        <v>81500</v>
      </c>
      <c r="F18" s="20">
        <f>F17-F14</f>
        <v>80000</v>
      </c>
    </row>
    <row r="21" spans="1:11" x14ac:dyDescent="0.25">
      <c r="A21" s="6"/>
      <c r="B21" s="6" t="s">
        <v>15</v>
      </c>
      <c r="C21" s="6" t="s">
        <v>5</v>
      </c>
      <c r="D21" s="6" t="s">
        <v>16</v>
      </c>
      <c r="E21" s="6" t="s">
        <v>17</v>
      </c>
      <c r="F21" s="6" t="s">
        <v>18</v>
      </c>
      <c r="G21" s="6" t="s">
        <v>19</v>
      </c>
      <c r="H21" s="44"/>
      <c r="I21" s="44"/>
      <c r="J21" s="44"/>
      <c r="K21" s="44"/>
    </row>
    <row r="22" spans="1:11" x14ac:dyDescent="0.25">
      <c r="A22" s="6" t="s">
        <v>20</v>
      </c>
      <c r="B22" s="1"/>
      <c r="C22" s="8"/>
      <c r="D22" s="8"/>
      <c r="E22" s="8"/>
      <c r="F22" s="1"/>
      <c r="G22" s="1"/>
      <c r="H22" s="48"/>
      <c r="I22" s="109">
        <f>B1</f>
        <v>560000</v>
      </c>
      <c r="J22" s="48"/>
      <c r="K22" s="48"/>
    </row>
    <row r="23" spans="1:11" x14ac:dyDescent="0.25">
      <c r="A23" s="1" t="s">
        <v>13</v>
      </c>
      <c r="B23" s="1"/>
      <c r="C23" s="20">
        <f>B18</f>
        <v>132500</v>
      </c>
      <c r="D23" s="20">
        <f>C18</f>
        <v>179375</v>
      </c>
      <c r="E23" s="20">
        <f>D18</f>
        <v>121250</v>
      </c>
      <c r="F23" s="20">
        <f>E18</f>
        <v>81500</v>
      </c>
      <c r="G23" s="20">
        <f>F18</f>
        <v>80000</v>
      </c>
      <c r="H23" s="60"/>
      <c r="I23" s="35">
        <f>SUM(B14:F14)</f>
        <v>-400000</v>
      </c>
      <c r="J23" s="35"/>
      <c r="K23" s="35"/>
    </row>
    <row r="24" spans="1:11" x14ac:dyDescent="0.25">
      <c r="A24" s="1" t="s">
        <v>60</v>
      </c>
      <c r="B24" s="1"/>
      <c r="C24" s="20"/>
      <c r="D24" s="20"/>
      <c r="E24" s="20"/>
      <c r="F24" s="1"/>
      <c r="G24" s="20">
        <f>F1-(0.25*(F1-I24))</f>
        <v>190000</v>
      </c>
      <c r="H24" s="60"/>
      <c r="I24" s="35">
        <f>I22+I23</f>
        <v>160000</v>
      </c>
      <c r="J24" s="35"/>
      <c r="K24" s="35"/>
    </row>
    <row r="25" spans="1:11" x14ac:dyDescent="0.25">
      <c r="A25" s="75" t="s">
        <v>4</v>
      </c>
      <c r="B25" s="76">
        <f t="shared" ref="B25:G25" si="6">SUM(B23:B24)</f>
        <v>0</v>
      </c>
      <c r="C25" s="77">
        <f t="shared" si="6"/>
        <v>132500</v>
      </c>
      <c r="D25" s="77">
        <f t="shared" si="6"/>
        <v>179375</v>
      </c>
      <c r="E25" s="77">
        <f t="shared" si="6"/>
        <v>121250</v>
      </c>
      <c r="F25" s="77">
        <f t="shared" si="6"/>
        <v>81500</v>
      </c>
      <c r="G25" s="77">
        <f t="shared" si="6"/>
        <v>270000</v>
      </c>
      <c r="H25" s="47"/>
      <c r="I25" s="47"/>
      <c r="J25" s="47"/>
      <c r="K25" s="47"/>
    </row>
    <row r="26" spans="1:11" x14ac:dyDescent="0.25">
      <c r="A26" s="19" t="s">
        <v>23</v>
      </c>
      <c r="B26" s="1"/>
      <c r="C26" s="20"/>
      <c r="D26" s="20"/>
      <c r="E26" s="20"/>
    </row>
    <row r="27" spans="1:11" x14ac:dyDescent="0.25">
      <c r="A27" s="19" t="s">
        <v>24</v>
      </c>
      <c r="B27" s="3">
        <f>B1</f>
        <v>560000</v>
      </c>
      <c r="C27" s="20"/>
      <c r="D27" s="20"/>
      <c r="E27" s="20"/>
      <c r="F27" s="20"/>
      <c r="G27" s="20"/>
      <c r="H27" s="35"/>
      <c r="I27" s="35"/>
      <c r="J27" s="35"/>
      <c r="K27" s="35"/>
    </row>
    <row r="28" spans="1:11" x14ac:dyDescent="0.25">
      <c r="A28" s="19" t="s">
        <v>4</v>
      </c>
      <c r="B28" s="20">
        <f t="shared" ref="B28:G28" si="7">SUM(B27:B27)</f>
        <v>560000</v>
      </c>
      <c r="C28" s="20">
        <f t="shared" si="7"/>
        <v>0</v>
      </c>
      <c r="D28" s="20">
        <f t="shared" si="7"/>
        <v>0</v>
      </c>
      <c r="E28" s="20">
        <f t="shared" si="7"/>
        <v>0</v>
      </c>
      <c r="F28" s="20">
        <f t="shared" si="7"/>
        <v>0</v>
      </c>
      <c r="G28" s="20">
        <f t="shared" si="7"/>
        <v>0</v>
      </c>
      <c r="H28" s="35"/>
      <c r="I28" s="35"/>
      <c r="J28" s="35"/>
      <c r="K28" s="35"/>
    </row>
    <row r="29" spans="1:11" x14ac:dyDescent="0.25">
      <c r="A29" s="19" t="s">
        <v>26</v>
      </c>
      <c r="B29" s="20">
        <f t="shared" ref="B29:G29" si="8">B25-B28</f>
        <v>-560000</v>
      </c>
      <c r="C29" s="20">
        <f t="shared" si="8"/>
        <v>132500</v>
      </c>
      <c r="D29" s="20">
        <f t="shared" si="8"/>
        <v>179375</v>
      </c>
      <c r="E29" s="20">
        <f t="shared" si="8"/>
        <v>121250</v>
      </c>
      <c r="F29" s="20">
        <f t="shared" si="8"/>
        <v>81500</v>
      </c>
      <c r="G29" s="20">
        <f t="shared" si="8"/>
        <v>270000</v>
      </c>
      <c r="H29" s="60"/>
      <c r="I29" s="35"/>
      <c r="J29" s="35"/>
      <c r="K29" s="35"/>
    </row>
    <row r="30" spans="1:11" x14ac:dyDescent="0.25">
      <c r="A30" s="7" t="s">
        <v>27</v>
      </c>
      <c r="B30" s="21">
        <f>B29</f>
        <v>-560000</v>
      </c>
      <c r="C30" s="21">
        <f>C29*(1+$B$32)^-1</f>
        <v>126190.47619047618</v>
      </c>
      <c r="D30" s="21">
        <f>D29*(1+$B$32)^-2</f>
        <v>162698.41269841269</v>
      </c>
      <c r="E30" s="21">
        <f>E29*(1+$B$32)^-3</f>
        <v>104740.30882194146</v>
      </c>
      <c r="F30" s="21">
        <f>F29*(1+$B$32)^-4</f>
        <v>67050.251695538376</v>
      </c>
      <c r="G30" s="21">
        <f>G29*(1+$B$32)^-5</f>
        <v>211552.06494648391</v>
      </c>
      <c r="H30" s="110"/>
      <c r="I30" s="36"/>
      <c r="J30" s="36"/>
      <c r="K30" s="36"/>
    </row>
    <row r="32" spans="1:11" x14ac:dyDescent="0.25">
      <c r="A32" t="s">
        <v>63</v>
      </c>
      <c r="B32" s="58">
        <v>0.05</v>
      </c>
    </row>
    <row r="33" spans="1:2" x14ac:dyDescent="0.25">
      <c r="A33" t="s">
        <v>53</v>
      </c>
      <c r="B33" s="25">
        <f>SUM(B30:G30)</f>
        <v>112231.51435285262</v>
      </c>
    </row>
    <row r="34" spans="1:2" x14ac:dyDescent="0.25">
      <c r="B34" s="41">
        <f>NPV(B32,C29:G29)+B29</f>
        <v>112231.5143528526</v>
      </c>
    </row>
    <row r="36" spans="1:2" x14ac:dyDescent="0.25">
      <c r="A36" t="s">
        <v>70</v>
      </c>
      <c r="B36" s="58">
        <f>IRR(B29:G29)</f>
        <v>0.1149913081888112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AE5C4-B051-4B66-9327-79D08F604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3065E8-63A6-464A-8CFB-FCD53E4DD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236C23-C20C-4D80-B79D-0FCFE8F174E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b6f2b70-d5a1-4544-a145-5b4293f13656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 </vt:lpstr>
      <vt:lpstr>Exercice 2</vt:lpstr>
      <vt:lpstr>Exercice 3</vt:lpstr>
      <vt:lpstr>Exercice 4</vt:lpstr>
      <vt:lpstr>Exercice 5</vt:lpstr>
      <vt:lpstr>Exercice 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2022-07-28T13:38:34Z</dcterms:created>
  <dcterms:modified xsi:type="dcterms:W3CDTF">2022-08-01T09:00:13Z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