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3/GC2F/R5 GC2F 11/"/>
    </mc:Choice>
  </mc:AlternateContent>
  <xr:revisionPtr revIDLastSave="16" documentId="8_{6DB14691-818B-4FEC-BDF9-C0F3123B4A2A}" xr6:coauthVersionLast="36" xr6:coauthVersionMax="47" xr10:uidLastSave="{529C480D-DEA0-4BB5-A491-1D73037F067F}"/>
  <bookViews>
    <workbookView xWindow="28680" yWindow="-120" windowWidth="25440" windowHeight="15396" activeTab="6" xr2:uid="{00000000-000D-0000-FFFF-FFFF00000000}"/>
  </bookViews>
  <sheets>
    <sheet name="Exercice 1" sheetId="12" r:id="rId1"/>
    <sheet name="Exercice 2" sheetId="13" r:id="rId2"/>
    <sheet name="Exercice 3" sheetId="14" r:id="rId3"/>
    <sheet name="Exercice 4" sheetId="16" r:id="rId4"/>
    <sheet name="Exercice 5" sheetId="17" r:id="rId5"/>
    <sheet name="Exercice 6" sheetId="19" r:id="rId6"/>
    <sheet name="Exercice 7" sheetId="20" r:id="rId7"/>
  </sheets>
  <calcPr calcId="191029"/>
</workbook>
</file>

<file path=xl/calcChain.xml><?xml version="1.0" encoding="utf-8"?>
<calcChain xmlns="http://schemas.openxmlformats.org/spreadsheetml/2006/main">
  <c r="D23" i="20" l="1"/>
  <c r="C23" i="20"/>
  <c r="D22" i="20"/>
  <c r="C22" i="20"/>
  <c r="K21" i="20"/>
  <c r="D21" i="20"/>
  <c r="C21" i="20"/>
  <c r="C17" i="20"/>
  <c r="F12" i="20"/>
  <c r="D12" i="20"/>
  <c r="B12" i="20"/>
  <c r="H7" i="20"/>
  <c r="F7" i="20"/>
  <c r="C7" i="20"/>
  <c r="G6" i="20"/>
  <c r="F11" i="20" s="1"/>
  <c r="F13" i="20" s="1"/>
  <c r="E6" i="20"/>
  <c r="I6" i="20" s="1"/>
  <c r="G5" i="20"/>
  <c r="E5" i="20"/>
  <c r="G4" i="20"/>
  <c r="B11" i="20" s="1"/>
  <c r="E4" i="20"/>
  <c r="I4" i="20" s="1"/>
  <c r="B13" i="20" l="1"/>
  <c r="H12" i="20"/>
  <c r="E22" i="20"/>
  <c r="F22" i="20" s="1"/>
  <c r="E7" i="20"/>
  <c r="D7" i="20" s="1"/>
  <c r="C24" i="20"/>
  <c r="E23" i="20"/>
  <c r="F23" i="20" s="1"/>
  <c r="D24" i="20"/>
  <c r="D11" i="20"/>
  <c r="D13" i="20" s="1"/>
  <c r="I5" i="20"/>
  <c r="I7" i="20" s="1"/>
  <c r="E21" i="20"/>
  <c r="H11" i="20" l="1"/>
  <c r="E24" i="20"/>
  <c r="F21" i="20"/>
  <c r="F24" i="20" s="1"/>
  <c r="H24" i="20" s="1"/>
  <c r="D67" i="19" l="1"/>
  <c r="D65" i="19"/>
  <c r="D60" i="19"/>
  <c r="E60" i="19" s="1"/>
  <c r="E61" i="19" s="1"/>
  <c r="D66" i="19" s="1"/>
  <c r="D68" i="19" s="1"/>
  <c r="E59" i="19"/>
  <c r="D59" i="19"/>
  <c r="F44" i="19"/>
  <c r="B44" i="19"/>
  <c r="B43" i="19"/>
  <c r="B45" i="19" s="1"/>
  <c r="B42" i="19"/>
  <c r="F37" i="19"/>
  <c r="D37" i="19"/>
  <c r="F36" i="19"/>
  <c r="D36" i="19"/>
  <c r="F35" i="19"/>
  <c r="D35" i="19"/>
  <c r="B25" i="19"/>
  <c r="B24" i="19"/>
  <c r="B23" i="19"/>
  <c r="B26" i="19" s="1"/>
  <c r="B17" i="19"/>
  <c r="B13" i="19"/>
  <c r="C13" i="19" s="1"/>
  <c r="B30" i="19" s="1"/>
  <c r="B12" i="19"/>
  <c r="B14" i="19" s="1"/>
  <c r="H9" i="19"/>
  <c r="H10" i="19" s="1"/>
  <c r="E9" i="19"/>
  <c r="B37" i="19" s="1"/>
  <c r="C37" i="19" s="1"/>
  <c r="C9" i="19"/>
  <c r="C12" i="19" l="1"/>
  <c r="B18" i="19"/>
  <c r="H12" i="19"/>
  <c r="E37" i="19"/>
  <c r="G37" i="19" s="1"/>
  <c r="D38" i="19"/>
  <c r="H35" i="19" s="1"/>
  <c r="B35" i="19"/>
  <c r="B36" i="19"/>
  <c r="C36" i="19" s="1"/>
  <c r="E36" i="19" s="1"/>
  <c r="G36" i="19" s="1"/>
  <c r="H37" i="19" l="1"/>
  <c r="H36" i="19"/>
  <c r="C35" i="19"/>
  <c r="B38" i="19"/>
  <c r="C38" i="19" l="1"/>
  <c r="E35" i="19"/>
  <c r="E38" i="19" l="1"/>
  <c r="G35" i="19"/>
  <c r="G38" i="19" s="1"/>
  <c r="B33" i="19" l="1"/>
  <c r="B31" i="19"/>
  <c r="F32" i="17" l="1"/>
  <c r="C32" i="17"/>
  <c r="D32" i="17" s="1"/>
  <c r="B32" i="17"/>
  <c r="F31" i="17"/>
  <c r="C31" i="17"/>
  <c r="D31" i="17" s="1"/>
  <c r="B31" i="17"/>
  <c r="E23" i="17"/>
  <c r="B23" i="17"/>
  <c r="G23" i="17" s="1"/>
  <c r="E19" i="17"/>
  <c r="E10" i="17"/>
  <c r="F9" i="17"/>
  <c r="E22" i="17" s="1"/>
  <c r="D9" i="17"/>
  <c r="H9" i="17" s="1"/>
  <c r="F8" i="17"/>
  <c r="B22" i="17" s="1"/>
  <c r="D8" i="17"/>
  <c r="H8" i="17" s="1"/>
  <c r="B33" i="17" l="1"/>
  <c r="B19" i="17"/>
  <c r="G19" i="17" s="1"/>
  <c r="G22" i="17"/>
  <c r="G32" i="17"/>
  <c r="E32" i="17"/>
  <c r="D33" i="17"/>
  <c r="E33" i="17" s="1"/>
  <c r="G31" i="17"/>
  <c r="E31" i="17"/>
  <c r="B10" i="17"/>
  <c r="D12" i="17" s="1"/>
  <c r="C33" i="17"/>
  <c r="G34" i="17" l="1"/>
  <c r="H10" i="17"/>
  <c r="B16" i="17"/>
  <c r="B63" i="16" l="1"/>
  <c r="B59" i="16"/>
  <c r="B58" i="16"/>
  <c r="B60" i="16" s="1"/>
  <c r="B62" i="16" s="1"/>
  <c r="F54" i="16"/>
  <c r="D54" i="16"/>
  <c r="B54" i="16"/>
  <c r="A54" i="16"/>
  <c r="D45" i="16"/>
  <c r="D41" i="16"/>
  <c r="B41" i="16"/>
  <c r="D40" i="16"/>
  <c r="B40" i="16"/>
  <c r="C30" i="16"/>
  <c r="A30" i="16"/>
  <c r="F29" i="16"/>
  <c r="G29" i="16" s="1"/>
  <c r="H29" i="16" s="1"/>
  <c r="C29" i="16"/>
  <c r="A29" i="16"/>
  <c r="E28" i="16"/>
  <c r="E54" i="16" s="1"/>
  <c r="C28" i="16"/>
  <c r="C54" i="16" s="1"/>
  <c r="A28" i="16"/>
  <c r="E27" i="16"/>
  <c r="D44" i="16" s="1"/>
  <c r="C27" i="16"/>
  <c r="A27" i="16"/>
  <c r="E26" i="16"/>
  <c r="G26" i="16" s="1"/>
  <c r="H26" i="16" s="1"/>
  <c r="C26" i="16"/>
  <c r="A26" i="16"/>
  <c r="E25" i="16"/>
  <c r="G25" i="16" s="1"/>
  <c r="H25" i="16" s="1"/>
  <c r="C25" i="16"/>
  <c r="A25" i="16"/>
  <c r="G24" i="16"/>
  <c r="H24" i="16" s="1"/>
  <c r="E24" i="16"/>
  <c r="B24" i="16"/>
  <c r="C24" i="16" s="1"/>
  <c r="B45" i="16" s="1"/>
  <c r="D18" i="16"/>
  <c r="C9" i="16" s="1"/>
  <c r="C18" i="16"/>
  <c r="B18" i="16"/>
  <c r="C8" i="16"/>
  <c r="D8" i="16" s="1"/>
  <c r="D7" i="16"/>
  <c r="F30" i="16" l="1"/>
  <c r="G30" i="16" s="1"/>
  <c r="H30" i="16" s="1"/>
  <c r="D9" i="16"/>
  <c r="B65" i="16"/>
  <c r="D10" i="16"/>
  <c r="B42" i="16"/>
  <c r="G28" i="16"/>
  <c r="B64" i="16"/>
  <c r="G27" i="16"/>
  <c r="H27" i="16" s="1"/>
  <c r="D42" i="16" s="1"/>
  <c r="B44" i="16"/>
  <c r="H28" i="16" l="1"/>
  <c r="H54" i="16" s="1"/>
  <c r="G54" i="16"/>
  <c r="H31" i="16"/>
  <c r="B26" i="14" l="1"/>
  <c r="B22" i="14"/>
  <c r="B21" i="14"/>
  <c r="H20" i="14"/>
  <c r="B20" i="14"/>
  <c r="C17" i="14"/>
  <c r="C18" i="14" s="1"/>
  <c r="G14" i="14"/>
  <c r="H13" i="14"/>
  <c r="G13" i="14"/>
  <c r="G12" i="14"/>
  <c r="H12" i="14" s="1"/>
  <c r="D43" i="13"/>
  <c r="D49" i="13"/>
  <c r="J50" i="13"/>
  <c r="J49" i="13"/>
  <c r="D50" i="13"/>
  <c r="J43" i="13"/>
  <c r="D33" i="13"/>
  <c r="B24" i="13"/>
  <c r="C24" i="13"/>
  <c r="C25" i="13"/>
  <c r="G48" i="13"/>
  <c r="G42" i="13"/>
  <c r="A42" i="13"/>
  <c r="A48" i="13" s="1"/>
  <c r="C20" i="13"/>
  <c r="L15" i="13"/>
  <c r="G15" i="13"/>
  <c r="B15" i="13"/>
  <c r="M14" i="13"/>
  <c r="L14" i="13"/>
  <c r="I14" i="13"/>
  <c r="B14" i="13"/>
  <c r="D14" i="13" s="1"/>
  <c r="B21" i="13" s="1"/>
  <c r="I7" i="13"/>
  <c r="I6" i="13"/>
  <c r="J44" i="13" s="1"/>
  <c r="I5" i="13"/>
  <c r="D44" i="13" s="1"/>
  <c r="H21" i="14" l="1"/>
  <c r="H22" i="14" s="1"/>
  <c r="H24" i="14" s="1"/>
  <c r="H14" i="14"/>
  <c r="J45" i="13"/>
  <c r="D32" i="13"/>
  <c r="N14" i="13"/>
  <c r="C18" i="13" s="1"/>
  <c r="C21" i="13" s="1"/>
  <c r="D21" i="13" s="1"/>
  <c r="D45" i="13"/>
  <c r="I8" i="13"/>
  <c r="B18" i="13"/>
  <c r="B25" i="13" s="1"/>
  <c r="D25" i="13" s="1"/>
  <c r="I15" i="13"/>
  <c r="H15" i="13" s="1"/>
  <c r="B25" i="14" l="1"/>
  <c r="B24" i="14"/>
  <c r="N15" i="13"/>
  <c r="M15" i="13" s="1"/>
  <c r="D18" i="13"/>
  <c r="D15" i="13"/>
  <c r="C15" i="13" s="1"/>
  <c r="B27" i="14" l="1"/>
  <c r="D37" i="12" l="1"/>
  <c r="E36" i="12"/>
  <c r="D36" i="12"/>
  <c r="F35" i="12"/>
  <c r="E35" i="12"/>
  <c r="G35" i="12" s="1"/>
  <c r="C35" i="12"/>
  <c r="D35" i="12" s="1"/>
  <c r="D38" i="12" s="1"/>
  <c r="C38" i="12" s="1"/>
  <c r="B29" i="12"/>
  <c r="D29" i="12" s="1"/>
  <c r="D27" i="12"/>
  <c r="C27" i="12"/>
  <c r="B27" i="12"/>
  <c r="D26" i="12"/>
  <c r="D25" i="12"/>
  <c r="D24" i="12"/>
  <c r="B19" i="12"/>
  <c r="C18" i="12"/>
  <c r="C17" i="12"/>
  <c r="B16" i="12"/>
  <c r="B17" i="12" s="1"/>
  <c r="C15" i="12"/>
  <c r="C19" i="12" s="1"/>
  <c r="B14" i="12"/>
  <c r="B18" i="12" s="1"/>
  <c r="C7" i="12"/>
  <c r="F37" i="12" s="1"/>
  <c r="B7" i="12"/>
  <c r="E37" i="12" s="1"/>
  <c r="G37" i="12" s="1"/>
  <c r="D6" i="12"/>
  <c r="C6" i="12"/>
  <c r="F36" i="12" s="1"/>
  <c r="G36" i="12" s="1"/>
  <c r="B6" i="12"/>
  <c r="C5" i="12"/>
  <c r="D5" i="12" s="1"/>
  <c r="G38" i="12" l="1"/>
  <c r="F38" i="12" s="1"/>
  <c r="D7" i="12"/>
  <c r="D8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5" authorId="0" shapeId="0" xr:uid="{D26145DE-396F-4D1B-BAA2-9BF4EBC085BF}">
      <text>
        <r>
          <rPr>
            <b/>
            <sz val="9"/>
            <color indexed="81"/>
            <rFont val="Tahoma"/>
            <family val="2"/>
          </rPr>
          <t xml:space="preserve">180000/9000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 shapeId="0" xr:uid="{4E5C20A0-2D7B-4B55-BB37-6C16F8A821A7}">
      <text>
        <r>
          <rPr>
            <b/>
            <sz val="9"/>
            <color indexed="81"/>
            <rFont val="Tahoma"/>
            <family val="2"/>
          </rPr>
          <t>120000/180000</t>
        </r>
      </text>
    </comment>
    <comment ref="B6" authorId="0" shapeId="0" xr:uid="{79984A1B-6BBD-4C08-8E20-2D37B07561F5}">
      <text>
        <r>
          <rPr>
            <b/>
            <sz val="9"/>
            <color indexed="81"/>
            <rFont val="Tahoma"/>
            <family val="2"/>
          </rPr>
          <t>20250/9000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 xr:uid="{FCCDD93E-CECB-4D37-83D5-8D4960BDD939}">
      <text>
        <r>
          <rPr>
            <b/>
            <sz val="9"/>
            <color indexed="81"/>
            <rFont val="Tahoma"/>
            <family val="2"/>
          </rPr>
          <t>13500/9000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" authorId="0" shapeId="0" xr:uid="{7FB7149C-9366-4CDF-881D-057FD0BB9B2A}">
      <text>
        <r>
          <rPr>
            <b/>
            <sz val="9"/>
            <color indexed="81"/>
            <rFont val="Tahoma"/>
            <family val="2"/>
          </rPr>
          <t>CUMP</t>
        </r>
        <r>
          <rPr>
            <sz val="9"/>
            <color indexed="81"/>
            <rFont val="Tahoma"/>
            <family val="2"/>
          </rPr>
          <t xml:space="preserve">
176100€ / 255000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4" authorId="0" shapeId="0" xr:uid="{733FAC04-9C64-486A-BB42-28FD244E5DA2}">
      <text>
        <r>
          <rPr>
            <b/>
            <sz val="9"/>
            <color indexed="81"/>
            <rFont val="Tahoma"/>
            <family val="2"/>
          </rPr>
          <t>7000 *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0" shapeId="0" xr:uid="{00A7012D-0F5A-47F6-B698-0C23DEAD16C0}">
      <text>
        <r>
          <rPr>
            <b/>
            <sz val="9"/>
            <color indexed="81"/>
            <rFont val="Tahoma"/>
            <family val="2"/>
          </rPr>
          <t>(37000-35000) * 50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601B306F-5417-4EF9-942B-30C9B8E869A8}">
      <text>
        <r>
          <rPr>
            <b/>
            <sz val="9"/>
            <color indexed="81"/>
            <rFont val="Tahoma"/>
            <family val="2"/>
          </rPr>
          <t>(51-50) * 37000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9" authorId="0" shapeId="0" xr:uid="{67F737A1-B1EA-4AC9-AD91-DAE968F83668}">
      <text>
        <r>
          <rPr>
            <sz val="9"/>
            <color indexed="81"/>
            <rFont val="Tahoma"/>
            <family val="2"/>
          </rPr>
          <t xml:space="preserve">(61000-56000)*40€
</t>
        </r>
      </text>
    </comment>
    <comment ref="J49" authorId="0" shapeId="0" xr:uid="{B05845A8-0B2F-45FE-8027-B8D08863DA0A}">
      <text>
        <r>
          <rPr>
            <b/>
            <sz val="9"/>
            <color indexed="81"/>
            <rFont val="Tahoma"/>
            <family val="2"/>
          </rPr>
          <t>(12000-14000)*15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0" authorId="0" shapeId="0" xr:uid="{6CF6DA29-CF37-4A12-A62A-EBE7BEA6BBF5}">
      <text>
        <r>
          <rPr>
            <sz val="9"/>
            <color indexed="81"/>
            <rFont val="Tahoma"/>
            <family val="2"/>
          </rPr>
          <t xml:space="preserve">(42-40)*66000
</t>
        </r>
      </text>
    </comment>
    <comment ref="J50" authorId="0" shapeId="0" xr:uid="{11E29752-3D07-4EFF-9008-F929D83B1B77}">
      <text>
        <r>
          <rPr>
            <b/>
            <sz val="9"/>
            <color indexed="81"/>
            <rFont val="Tahoma"/>
            <family val="2"/>
          </rPr>
          <t>(14-15)*12000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1" authorId="0" shapeId="0" xr:uid="{13F486CF-115C-4B5C-A5C9-43EB0BAEE44A}">
      <text>
        <r>
          <rPr>
            <sz val="9"/>
            <color indexed="81"/>
            <rFont val="Tahoma"/>
            <family val="2"/>
          </rPr>
          <t xml:space="preserve">(60-51,50) * (12*10000)
</t>
        </r>
      </text>
    </comment>
    <comment ref="H13" authorId="0" shapeId="0" xr:uid="{2B80237D-2F26-4899-AD15-60E510E628AC}">
      <text>
        <r>
          <rPr>
            <b/>
            <sz val="9"/>
            <color indexed="81"/>
            <rFont val="Tahoma"/>
            <family val="2"/>
          </rPr>
          <t>51,50 * 145000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54228509-EFB2-4957-A311-55CC9448C4E2}">
      <text>
        <r>
          <rPr>
            <b/>
            <sz val="9"/>
            <color indexed="81"/>
            <rFont val="Tahoma"/>
            <family val="2"/>
          </rPr>
          <t>12000 * 12 (HM)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E701FD74-6B32-47D1-91EE-AD0987249623}">
      <text>
        <r>
          <rPr>
            <b/>
            <sz val="9"/>
            <color indexed="81"/>
            <rFont val="Tahoma"/>
            <family val="2"/>
          </rPr>
          <t>144000 * 60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40" authorId="0" shapeId="0" xr:uid="{C9E2BE58-B87C-4DBB-898F-548A3826C312}">
      <text>
        <r>
          <rPr>
            <b/>
            <sz val="9"/>
            <color indexed="81"/>
            <rFont val="Tahoma"/>
            <family val="2"/>
          </rPr>
          <t>35280 - (8500*5)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1" authorId="0" shapeId="0" xr:uid="{2FED5B74-57A9-4A77-97AE-510D42FA3345}">
      <text>
        <r>
          <rPr>
            <sz val="9"/>
            <color indexed="81"/>
            <rFont val="Tahoma"/>
            <family val="2"/>
          </rPr>
          <t>8500*0,250 = &gt; 2125 Kg
7820 * 0,250 = &gt; 1955 Kg
2125 - 1955 =&gt; 170Kg
170 * 20 = &gt; 3400€</t>
        </r>
      </text>
    </comment>
    <comment ref="B44" authorId="0" shapeId="0" xr:uid="{1118B722-D38C-44DE-BA98-2AD0837CEC1C}">
      <text>
        <r>
          <rPr>
            <b/>
            <sz val="9"/>
            <color indexed="81"/>
            <rFont val="Tahoma"/>
            <family val="2"/>
          </rPr>
          <t>(1960-1955)*20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5" authorId="0" shapeId="0" xr:uid="{CE210DFD-9925-448C-91B7-762EB6613149}">
      <text>
        <r>
          <rPr>
            <b/>
            <sz val="9"/>
            <color indexed="81"/>
            <rFont val="Tahoma"/>
            <family val="2"/>
          </rPr>
          <t>(18-20)*1960</t>
        </r>
      </text>
    </comment>
    <comment ref="B59" authorId="0" shapeId="0" xr:uid="{3F98FCA3-7477-43FA-B649-E0FA3283E162}">
      <text>
        <r>
          <rPr>
            <b/>
            <sz val="9"/>
            <color indexed="81"/>
            <rFont val="Tahoma"/>
            <family val="2"/>
          </rPr>
          <t>(10875/2125)*1960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 shapeId="0" xr:uid="{46CBEB1F-867C-4227-B080-B80D125AC244}">
      <text>
        <r>
          <rPr>
            <b/>
            <sz val="9"/>
            <color indexed="81"/>
            <rFont val="Tahoma"/>
            <family val="2"/>
          </rPr>
          <t>13328 - 14030,59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3" authorId="0" shapeId="0" xr:uid="{8D3DEF4F-0151-4179-85C7-CF9E450F51EA}">
      <text>
        <r>
          <rPr>
            <b/>
            <sz val="9"/>
            <color indexed="81"/>
            <rFont val="Tahoma"/>
            <family val="2"/>
          </rPr>
          <t>14030,59 - (1960*7)
ou
(2125-1960)*CUO Fixe (1,88)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0" shapeId="0" xr:uid="{49D71033-515C-49C0-A00A-2CE7E22E8885}">
      <text>
        <r>
          <rPr>
            <b/>
            <sz val="9"/>
            <color indexed="81"/>
            <rFont val="Tahoma"/>
            <family val="2"/>
          </rPr>
          <t>(1960-1955)*7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D12" authorId="0" shapeId="0" xr:uid="{73EAFBED-8E26-45DB-BF78-DADF35EFC0EE}">
      <text>
        <r>
          <rPr>
            <b/>
            <sz val="9"/>
            <color indexed="81"/>
            <rFont val="Tahoma"/>
            <family val="2"/>
          </rPr>
          <t>PV moyen prévu :
875000 / 15000 = 58,33€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84C54182-2643-4F0C-90BD-D965399A1127}">
      <text>
        <r>
          <rPr>
            <b/>
            <sz val="9"/>
            <color indexed="81"/>
            <rFont val="Tahoma"/>
            <family val="2"/>
          </rPr>
          <t>(59,05-60)*9500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 xr:uid="{A87934A6-E1A2-4A3F-B8DB-BD8403829790}">
      <text>
        <r>
          <rPr>
            <b/>
            <sz val="9"/>
            <color indexed="81"/>
            <rFont val="Tahoma"/>
            <family val="2"/>
          </rPr>
          <t>(54,72-55 ) * 5400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F099144B-6FA1-4C1C-AA87-89A7CC8D098A}">
      <text>
        <r>
          <rPr>
            <b/>
            <sz val="9"/>
            <color indexed="81"/>
            <rFont val="Tahoma"/>
            <family val="2"/>
          </rPr>
          <t>(9500-10000)*60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" authorId="0" shapeId="0" xr:uid="{8BEB357D-952D-42DF-BB03-DB313906F3E6}">
      <text>
        <r>
          <rPr>
            <b/>
            <sz val="9"/>
            <color indexed="81"/>
            <rFont val="Tahoma"/>
            <family val="2"/>
          </rPr>
          <t>10000 / 15000 = 66,67%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 shapeId="0" xr:uid="{450F6BE9-8916-4258-8A6D-BD0163020B0A}">
      <text>
        <r>
          <rPr>
            <b/>
            <sz val="9"/>
            <color indexed="81"/>
            <rFont val="Tahoma"/>
            <family val="2"/>
          </rPr>
          <t>14900 * 66,67% = 9933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13" authorId="0" shapeId="0" xr:uid="{3E1DF06C-3719-4C36-BE90-E3CDFCB901E7}">
      <text>
        <r>
          <rPr>
            <b/>
            <sz val="9"/>
            <color indexed="81"/>
            <rFont val="Tahoma"/>
            <family val="2"/>
          </rPr>
          <t>Prix moyen de N-2: 
1241690 / 10288 nuits = 120,69€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 shapeId="0" xr:uid="{CC31C363-7FAB-4189-AE08-5110C60EA0B6}">
      <text>
        <r>
          <rPr>
            <b/>
            <sz val="9"/>
            <color indexed="81"/>
            <rFont val="Tahoma"/>
            <family val="2"/>
          </rPr>
          <t>3708/10288 = 36,04%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0" shapeId="0" xr:uid="{A5F78E7C-80A4-4B6D-8BC4-A9C2CD2B2822}">
      <text>
        <r>
          <rPr>
            <b/>
            <sz val="9"/>
            <color indexed="81"/>
            <rFont val="Tahoma"/>
            <family val="2"/>
          </rPr>
          <t>36,04% * 9500 = 3424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9" authorId="0" shapeId="0" xr:uid="{F34D3A82-7EDB-4D40-874F-5BF67CB4638B}">
      <text>
        <r>
          <rPr>
            <b/>
            <sz val="9"/>
            <color indexed="81"/>
            <rFont val="Tahoma"/>
            <family val="2"/>
          </rPr>
          <t>210000*40%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9" authorId="0" shapeId="0" xr:uid="{44986B14-B451-48A1-B938-B9D1A2D53CB8}">
      <text>
        <r>
          <rPr>
            <b/>
            <sz val="9"/>
            <color indexed="81"/>
            <rFont val="Tahoma"/>
            <family val="2"/>
          </rPr>
          <t>84000/125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0" authorId="0" shapeId="0" xr:uid="{389C389C-C3D7-46BE-AC18-2B83954E5C4F}">
      <text>
        <r>
          <rPr>
            <b/>
            <sz val="9"/>
            <color indexed="81"/>
            <rFont val="Tahoma"/>
            <family val="2"/>
          </rPr>
          <t>126000/100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11" authorId="0" shapeId="0" xr:uid="{EF2D0906-1F35-48EC-89AD-638D8CB07A2C}">
      <text>
        <r>
          <rPr>
            <b/>
            <sz val="9"/>
            <color indexed="81"/>
            <rFont val="Tahoma"/>
            <family val="2"/>
          </rPr>
          <t>(11,20-12)*12780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A5EAA043-73DD-40A0-A373-372DADC1D340}">
      <text>
        <r>
          <rPr>
            <b/>
            <sz val="9"/>
            <color indexed="81"/>
            <rFont val="Tahoma"/>
            <family val="2"/>
          </rPr>
          <t>(12780-14000)*12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 xr:uid="{F249C2BD-9A4F-4718-A8C9-1094F3838FBD}">
      <text>
        <r>
          <rPr>
            <b/>
            <sz val="9"/>
            <color indexed="81"/>
            <rFont val="Tahoma"/>
            <family val="2"/>
          </rPr>
          <t>20846*70%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<sst xmlns="http://schemas.openxmlformats.org/spreadsheetml/2006/main" count="406" uniqueCount="233">
  <si>
    <t>M</t>
  </si>
  <si>
    <t>PU</t>
  </si>
  <si>
    <t>Q</t>
  </si>
  <si>
    <t>Question 1 : Fiche standard</t>
  </si>
  <si>
    <t>Matière premières</t>
  </si>
  <si>
    <t>MOD</t>
  </si>
  <si>
    <t>Centre production (H.Machine)</t>
  </si>
  <si>
    <t>COUT DE PRODUCTION STANDARD UNITAIRE</t>
  </si>
  <si>
    <t>Question 2 : Budget flexible</t>
  </si>
  <si>
    <t>Activité (U.O)</t>
  </si>
  <si>
    <t>14200 (réelle)</t>
  </si>
  <si>
    <t>13500 (normale)</t>
  </si>
  <si>
    <t>Charges variables (CUO : 37,50€)</t>
  </si>
  <si>
    <t>Charges fixes</t>
  </si>
  <si>
    <t>Coût total budget</t>
  </si>
  <si>
    <t>Coût de l'U.O</t>
  </si>
  <si>
    <t>-dont variable</t>
  </si>
  <si>
    <t>506250 /13500</t>
  </si>
  <si>
    <t>-dont fixe</t>
  </si>
  <si>
    <t>VALORISATION DES CONSOMMATION DE M. PREMIERES</t>
  </si>
  <si>
    <t>Question 3</t>
  </si>
  <si>
    <t>S. INITIAL</t>
  </si>
  <si>
    <t>TOTAL ENTREE</t>
  </si>
  <si>
    <t>S. FINAL</t>
  </si>
  <si>
    <t>Consommation</t>
  </si>
  <si>
    <t>COUT REEL  9230 unités</t>
  </si>
  <si>
    <t>COUT PREETABLI ADAPTE A LA PRODUCTION REELLE (9230 tubes)</t>
  </si>
  <si>
    <t>Centre production</t>
  </si>
  <si>
    <t>COUT TOTAL</t>
  </si>
  <si>
    <t>EXERCICE 2</t>
  </si>
  <si>
    <t>Production prévue :</t>
  </si>
  <si>
    <t>Quantité</t>
  </si>
  <si>
    <t>P.U</t>
  </si>
  <si>
    <t>Montant</t>
  </si>
  <si>
    <t>Production réelle :</t>
  </si>
  <si>
    <t>Mat A</t>
  </si>
  <si>
    <t>Mat B</t>
  </si>
  <si>
    <t>Cout variable unitaire  standard</t>
  </si>
  <si>
    <r>
      <t xml:space="preserve">COUT PREVU </t>
    </r>
    <r>
      <rPr>
        <b/>
        <u/>
        <sz val="11"/>
        <color theme="1"/>
        <rFont val="Calibri"/>
        <family val="2"/>
        <scheme val="minor"/>
      </rPr>
      <t>ADAPTE</t>
    </r>
    <r>
      <rPr>
        <b/>
        <sz val="11"/>
        <color theme="1"/>
        <rFont val="Calibri"/>
        <family val="2"/>
        <scheme val="minor"/>
      </rPr>
      <t xml:space="preserve"> A LA PRODUCTION REELLE - 7000 unités</t>
    </r>
  </si>
  <si>
    <t>COUT REEL DE LA PRODUCTION REELLE  - 7000 unités</t>
  </si>
  <si>
    <t>COUT PREVU DE LA PRODUCTION PREVUE  - 7200 unités</t>
  </si>
  <si>
    <t>TOTAL</t>
  </si>
  <si>
    <t>ECART TOTAL</t>
  </si>
  <si>
    <t>Def</t>
  </si>
  <si>
    <t>Fav</t>
  </si>
  <si>
    <t>ECART SUR VOLUME</t>
  </si>
  <si>
    <t>ECART GLOBAL</t>
  </si>
  <si>
    <t xml:space="preserve">Cout réel : </t>
  </si>
  <si>
    <t>Cout préétabli adapté :</t>
  </si>
  <si>
    <t>ECART GLOBAL - Défavorable</t>
  </si>
  <si>
    <t>ECART GLOBAL - Favorable</t>
  </si>
  <si>
    <t>Ecart sur quantité</t>
  </si>
  <si>
    <t>Défavorable</t>
  </si>
  <si>
    <t>Favorable</t>
  </si>
  <si>
    <t>Ecart sur coût</t>
  </si>
  <si>
    <t>EXERCICE 3</t>
  </si>
  <si>
    <t>Production normale/prévue</t>
  </si>
  <si>
    <t>Production réelle</t>
  </si>
  <si>
    <t>Nbre UO par produit</t>
  </si>
  <si>
    <t>CUO total</t>
  </si>
  <si>
    <t>CUO Variable</t>
  </si>
  <si>
    <t>Budget flexible du centre</t>
  </si>
  <si>
    <t>Charges fixes du centre</t>
  </si>
  <si>
    <t>UO</t>
  </si>
  <si>
    <t>H. Machine réelle</t>
  </si>
  <si>
    <t>Charges variables</t>
  </si>
  <si>
    <t>Coût de l'atelier A</t>
  </si>
  <si>
    <t>Charges totales</t>
  </si>
  <si>
    <t>CUO</t>
  </si>
  <si>
    <r>
      <t xml:space="preserve">Activité standard </t>
    </r>
    <r>
      <rPr>
        <i/>
        <sz val="11"/>
        <color theme="1"/>
        <rFont val="Calibri"/>
        <family val="2"/>
        <scheme val="minor"/>
      </rPr>
      <t>adaptée à la production réelle</t>
    </r>
  </si>
  <si>
    <t>Coût standard adapté à la production réelle</t>
  </si>
  <si>
    <t>=10500000-(120000*60)</t>
  </si>
  <si>
    <t>ECART VOLUME</t>
  </si>
  <si>
    <t>=(144000-120000)*60</t>
  </si>
  <si>
    <t>=10500000-8640000</t>
  </si>
  <si>
    <t>Ecart sur budget</t>
  </si>
  <si>
    <t>=10500000-8487500</t>
  </si>
  <si>
    <t>Ecart sur activité</t>
  </si>
  <si>
    <t>=(120000-145000)*8,5</t>
  </si>
  <si>
    <t>=8487500-(60*145000)</t>
  </si>
  <si>
    <t>Ecart sur rendement</t>
  </si>
  <si>
    <t>=(145000-(12000*12))*60</t>
  </si>
  <si>
    <t>Somme des 3  écarts</t>
  </si>
  <si>
    <t xml:space="preserve"> </t>
  </si>
  <si>
    <t>EXERCICE 4</t>
  </si>
  <si>
    <t>EXERCICE 5</t>
  </si>
  <si>
    <t>Matière 1ère</t>
  </si>
  <si>
    <t>250g</t>
  </si>
  <si>
    <t>Pot de verre</t>
  </si>
  <si>
    <t>Etiquette</t>
  </si>
  <si>
    <t>10mn</t>
  </si>
  <si>
    <t>Atelier préparation</t>
  </si>
  <si>
    <t>0,25 UO</t>
  </si>
  <si>
    <t>Atelier stérilisation</t>
  </si>
  <si>
    <t>1 UO</t>
  </si>
  <si>
    <t>Atelier Etiquetage</t>
  </si>
  <si>
    <t>COUT UNITAIRE STANDARD</t>
  </si>
  <si>
    <t>Préparation</t>
  </si>
  <si>
    <t>Stérilisation</t>
  </si>
  <si>
    <t>Etiquetage</t>
  </si>
  <si>
    <t>Kg préparé</t>
  </si>
  <si>
    <t>Pots stérilisé</t>
  </si>
  <si>
    <t>Pots étiquetés</t>
  </si>
  <si>
    <t>Nbre UO</t>
  </si>
  <si>
    <t xml:space="preserve">Question 1 </t>
  </si>
  <si>
    <t xml:space="preserve">Production réelle : </t>
  </si>
  <si>
    <t>COUT REEL</t>
  </si>
  <si>
    <t>COUT PREETABLI ADAPTE A LA PRODUCTION REELLE</t>
  </si>
  <si>
    <t>Matière 1ère (Kg)</t>
  </si>
  <si>
    <t>F</t>
  </si>
  <si>
    <t>D</t>
  </si>
  <si>
    <t>Question 2</t>
  </si>
  <si>
    <t>M. P</t>
  </si>
  <si>
    <t>Ecart total</t>
  </si>
  <si>
    <t>=33250-(8500*4)</t>
  </si>
  <si>
    <t>Ecart sur volume</t>
  </si>
  <si>
    <t>=(7820-8500)*4</t>
  </si>
  <si>
    <t>Ecart global</t>
  </si>
  <si>
    <t>E/ QTE</t>
  </si>
  <si>
    <t>E/ PRIX</t>
  </si>
  <si>
    <t>ACTIVITE REELLE</t>
  </si>
  <si>
    <t>ACTIVITE ADAPTEE</t>
  </si>
  <si>
    <t>Budget flexible</t>
  </si>
  <si>
    <t>1960 uo</t>
  </si>
  <si>
    <t>E/ Budget</t>
  </si>
  <si>
    <t>E/ Activité</t>
  </si>
  <si>
    <t>E/ Rendement</t>
  </si>
  <si>
    <t>4000€ / 2125 =&gt; 1,88€</t>
  </si>
  <si>
    <t>EXERCICE 6</t>
  </si>
  <si>
    <t>ECARTS SUR CA</t>
  </si>
  <si>
    <t>Prévu</t>
  </si>
  <si>
    <t>Réel</t>
  </si>
  <si>
    <t>ECART</t>
  </si>
  <si>
    <t>P. Vente</t>
  </si>
  <si>
    <t>CA</t>
  </si>
  <si>
    <t>Détaillants</t>
  </si>
  <si>
    <t>Supermarchés</t>
  </si>
  <si>
    <t xml:space="preserve">Question 1 : </t>
  </si>
  <si>
    <t>Ecart total sur CA</t>
  </si>
  <si>
    <t>Ecart sur détaillants</t>
  </si>
  <si>
    <t>Ecart sur Supermarchés</t>
  </si>
  <si>
    <t>Ecart sur prix</t>
  </si>
  <si>
    <t>Question 4</t>
  </si>
  <si>
    <t>Ecart / Volume des ventes  (14900 - 15000)*58,33€ =-5833€ DEF</t>
  </si>
  <si>
    <t>Ecart / Composition des ventes</t>
  </si>
  <si>
    <t>Total des ventes</t>
  </si>
  <si>
    <t>Quantité  Réelle</t>
  </si>
  <si>
    <t>Composition</t>
  </si>
  <si>
    <t>Répartition du réel(Composition * Volume du réel)</t>
  </si>
  <si>
    <t>Ecart</t>
  </si>
  <si>
    <t>Prix de vente prévu</t>
  </si>
  <si>
    <t>Détaillant : 10000 unités</t>
  </si>
  <si>
    <t>Supermarché : 5000 unités</t>
  </si>
  <si>
    <t>Question 1</t>
  </si>
  <si>
    <t>Qté réelle</t>
  </si>
  <si>
    <t>Remplissage à 100% de l'hôtel : 360 nuits * 40 chambres = 14400 nuits</t>
  </si>
  <si>
    <t>Année N-1</t>
  </si>
  <si>
    <t>Année N-2</t>
  </si>
  <si>
    <t>Prix</t>
  </si>
  <si>
    <t>Nb Nuits</t>
  </si>
  <si>
    <t>Basse saison</t>
  </si>
  <si>
    <t>Moyenne saison</t>
  </si>
  <si>
    <t>Haute saison</t>
  </si>
  <si>
    <t>TOTAL Nuits</t>
  </si>
  <si>
    <t>C°</t>
  </si>
  <si>
    <t>Adhésion</t>
  </si>
  <si>
    <t>CA N-1</t>
  </si>
  <si>
    <t>CA N-2</t>
  </si>
  <si>
    <t>Taux d'occupation</t>
  </si>
  <si>
    <t>Taux N-1</t>
  </si>
  <si>
    <t>9500/14400</t>
  </si>
  <si>
    <t>Taux N-2</t>
  </si>
  <si>
    <t>10288/14400</t>
  </si>
  <si>
    <t>E/ Quantité</t>
  </si>
  <si>
    <t>BS</t>
  </si>
  <si>
    <t>=(3040-3708)*95</t>
  </si>
  <si>
    <t>MS</t>
  </si>
  <si>
    <t>=(3610-3670)*125</t>
  </si>
  <si>
    <t>HS</t>
  </si>
  <si>
    <t>=(2850-2910)*148</t>
  </si>
  <si>
    <t>DEF</t>
  </si>
  <si>
    <t>Volume</t>
  </si>
  <si>
    <t>DEF    (9500-10288)*120,69</t>
  </si>
  <si>
    <t>N-2</t>
  </si>
  <si>
    <t>Ajusté (9500)</t>
  </si>
  <si>
    <t>Réel de N-1</t>
  </si>
  <si>
    <t>Prix N-2</t>
  </si>
  <si>
    <t>FAV</t>
  </si>
  <si>
    <t>Ecart / Prix</t>
  </si>
  <si>
    <t>Vérification</t>
  </si>
  <si>
    <t>(100-95)*3040</t>
  </si>
  <si>
    <t>E/Quantité</t>
  </si>
  <si>
    <t>(125-125)*3610</t>
  </si>
  <si>
    <t>E/Prix</t>
  </si>
  <si>
    <t>(150-148)*2850</t>
  </si>
  <si>
    <t>E/CA</t>
  </si>
  <si>
    <t>Question 6</t>
  </si>
  <si>
    <t>Question 7</t>
  </si>
  <si>
    <t>MS 40%</t>
  </si>
  <si>
    <t>BS 60%</t>
  </si>
  <si>
    <t xml:space="preserve">Nuits supplémentaires   : </t>
  </si>
  <si>
    <t>Question 8</t>
  </si>
  <si>
    <t>Sans la centrale</t>
  </si>
  <si>
    <t>Avec la centrale</t>
  </si>
  <si>
    <t>9500+1932</t>
  </si>
  <si>
    <t>Nb nuits maximum</t>
  </si>
  <si>
    <t>11432/14400</t>
  </si>
  <si>
    <t>ECARTS</t>
  </si>
  <si>
    <t>PRIX</t>
  </si>
  <si>
    <t>QUANTITE</t>
  </si>
  <si>
    <t>Commentaires</t>
  </si>
  <si>
    <t>CA PREVU</t>
  </si>
  <si>
    <t>CA REALISE</t>
  </si>
  <si>
    <t>Classique</t>
  </si>
  <si>
    <t>BIO</t>
  </si>
  <si>
    <t>Individuelle</t>
  </si>
  <si>
    <t>CLASSIQUE</t>
  </si>
  <si>
    <t>INDIVIDUELLE</t>
  </si>
  <si>
    <t xml:space="preserve">Volume </t>
  </si>
  <si>
    <t>(20846-20000)*10,50</t>
  </si>
  <si>
    <t>Qté de la composition prévue</t>
  </si>
  <si>
    <t>Ecarts en quantité</t>
  </si>
  <si>
    <t>Ecarts en €</t>
  </si>
  <si>
    <t>14000/20000</t>
  </si>
  <si>
    <t>Classique 70%</t>
  </si>
  <si>
    <t>2000/20000</t>
  </si>
  <si>
    <t>BIO 10%</t>
  </si>
  <si>
    <t>4000/20000</t>
  </si>
  <si>
    <t>Individuelle 20%</t>
  </si>
  <si>
    <t>Politique tarifaire catastrophique , mais volume supérieur et progression des ventes vers le produit dont le PV est le plus élevé</t>
  </si>
  <si>
    <t>Perte de part de marché sur la classique mais avancée notable dans la galette BIO</t>
  </si>
  <si>
    <t>EXERCICE 1</t>
  </si>
  <si>
    <t>Exercice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</si>
</sst>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000000\ &quot;€&quot;_-;\-* #,##0.00000000\ &quot;€&quot;_-;_-* &quot;-&quot;??\ &quot;€&quot;_-;_-@_-"/>
    <numFmt numFmtId="165" formatCode="_-* #,##0\ &quot;€&quot;_-;\-* #,##0\ &quot;€&quot;_-;_-* &quot;-&quot;??\ &quot;€&quot;_-;_-@_-"/>
    <numFmt numFmtId="166" formatCode="_-* #,##0.0000\ &quot;€&quot;_-;\-* #,##0.0000\ &quot;€&quot;_-;_-* &quot;-&quot;??\ &quot;€&quot;_-;_-@_-"/>
    <numFmt numFmtId="167" formatCode="_-* #,##0.00000\ &quot;€&quot;_-;\-* #,##0.00000\ &quot;€&quot;_-;_-* &quot;-&quot;??\ &quot;€&quot;_-;_-@_-"/>
    <numFmt numFmtId="168" formatCode="#,##0.00\ &quot;€&quot;"/>
    <numFmt numFmtId="169" formatCode="#,##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44" fontId="2" fillId="0" borderId="1" xfId="1" applyFont="1" applyBorder="1"/>
    <xf numFmtId="44" fontId="0" fillId="0" borderId="1" xfId="1" applyFont="1" applyFill="1" applyBorder="1"/>
    <xf numFmtId="0" fontId="2" fillId="2" borderId="1" xfId="0" applyFont="1" applyFill="1" applyBorder="1"/>
    <xf numFmtId="44" fontId="5" fillId="0" borderId="1" xfId="0" applyNumberFormat="1" applyFont="1" applyBorder="1"/>
    <xf numFmtId="0" fontId="0" fillId="0" borderId="0" xfId="0" quotePrefix="1"/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44" fontId="0" fillId="2" borderId="1" xfId="0" applyNumberFormat="1" applyFill="1" applyBorder="1"/>
    <xf numFmtId="44" fontId="0" fillId="0" borderId="0" xfId="0" applyNumberFormat="1"/>
    <xf numFmtId="0" fontId="0" fillId="0" borderId="1" xfId="0" applyBorder="1" applyAlignment="1">
      <alignment horizontal="center"/>
    </xf>
    <xf numFmtId="0" fontId="2" fillId="0" borderId="0" xfId="0" applyFont="1"/>
    <xf numFmtId="164" fontId="0" fillId="5" borderId="1" xfId="1" applyNumberFormat="1" applyFont="1" applyFill="1" applyBorder="1"/>
    <xf numFmtId="44" fontId="0" fillId="0" borderId="1" xfId="1" applyFont="1" applyBorder="1"/>
    <xf numFmtId="44" fontId="0" fillId="5" borderId="1" xfId="1" applyFont="1" applyFill="1" applyBorder="1"/>
    <xf numFmtId="44" fontId="11" fillId="0" borderId="1" xfId="1" applyFont="1" applyBorder="1"/>
    <xf numFmtId="0" fontId="2" fillId="0" borderId="0" xfId="0" applyFont="1" applyAlignment="1">
      <alignment horizontal="center"/>
    </xf>
    <xf numFmtId="44" fontId="11" fillId="0" borderId="0" xfId="1" applyFont="1" applyBorder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/>
    <xf numFmtId="44" fontId="12" fillId="2" borderId="1" xfId="0" applyNumberFormat="1" applyFont="1" applyFill="1" applyBorder="1"/>
    <xf numFmtId="0" fontId="0" fillId="0" borderId="1" xfId="0" quotePrefix="1" applyBorder="1"/>
    <xf numFmtId="44" fontId="11" fillId="6" borderId="1" xfId="0" applyNumberFormat="1" applyFont="1" applyFill="1" applyBorder="1"/>
    <xf numFmtId="165" fontId="9" fillId="0" borderId="0" xfId="1" applyNumberFormat="1" applyFont="1" applyBorder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5" fillId="0" borderId="1" xfId="0" applyFont="1" applyBorder="1"/>
    <xf numFmtId="44" fontId="5" fillId="0" borderId="1" xfId="1" applyFont="1" applyBorder="1"/>
    <xf numFmtId="0" fontId="0" fillId="0" borderId="0" xfId="0" applyAlignment="1">
      <alignment wrapText="1"/>
    </xf>
    <xf numFmtId="16" fontId="5" fillId="0" borderId="1" xfId="0" applyNumberFormat="1" applyFont="1" applyBorder="1"/>
    <xf numFmtId="0" fontId="5" fillId="2" borderId="1" xfId="0" applyFont="1" applyFill="1" applyBorder="1"/>
    <xf numFmtId="44" fontId="5" fillId="2" borderId="1" xfId="1" applyFont="1" applyFill="1" applyBorder="1"/>
    <xf numFmtId="0" fontId="13" fillId="0" borderId="1" xfId="0" applyFont="1" applyBorder="1"/>
    <xf numFmtId="0" fontId="13" fillId="7" borderId="1" xfId="0" applyFont="1" applyFill="1" applyBorder="1"/>
    <xf numFmtId="44" fontId="5" fillId="7" borderId="1" xfId="1" applyFont="1" applyFill="1" applyBorder="1"/>
    <xf numFmtId="44" fontId="5" fillId="7" borderId="1" xfId="0" applyNumberFormat="1" applyFont="1" applyFill="1" applyBorder="1"/>
    <xf numFmtId="0" fontId="14" fillId="0" borderId="0" xfId="0" applyFont="1" applyAlignment="1">
      <alignment horizontal="center" vertical="center" wrapText="1"/>
    </xf>
    <xf numFmtId="0" fontId="5" fillId="7" borderId="1" xfId="0" applyFont="1" applyFill="1" applyBorder="1"/>
    <xf numFmtId="166" fontId="5" fillId="7" borderId="1" xfId="1" applyNumberFormat="1" applyFont="1" applyFill="1" applyBorder="1"/>
    <xf numFmtId="167" fontId="5" fillId="5" borderId="1" xfId="1" applyNumberFormat="1" applyFont="1" applyFill="1" applyBorder="1"/>
    <xf numFmtId="44" fontId="5" fillId="0" borderId="1" xfId="1" applyFont="1" applyFill="1" applyBorder="1"/>
    <xf numFmtId="44" fontId="13" fillId="2" borderId="1" xfId="0" applyNumberFormat="1" applyFont="1" applyFill="1" applyBorder="1"/>
    <xf numFmtId="44" fontId="5" fillId="2" borderId="1" xfId="0" applyNumberFormat="1" applyFont="1" applyFill="1" applyBorder="1"/>
    <xf numFmtId="44" fontId="15" fillId="2" borderId="1" xfId="0" applyNumberFormat="1" applyFont="1" applyFill="1" applyBorder="1"/>
    <xf numFmtId="0" fontId="2" fillId="0" borderId="1" xfId="0" applyFont="1" applyBorder="1" applyAlignment="1">
      <alignment horizontal="center" wrapText="1"/>
    </xf>
    <xf numFmtId="0" fontId="17" fillId="0" borderId="1" xfId="0" applyFont="1" applyBorder="1"/>
    <xf numFmtId="44" fontId="0" fillId="2" borderId="1" xfId="1" applyFont="1" applyFill="1" applyBorder="1"/>
    <xf numFmtId="0" fontId="0" fillId="0" borderId="0" xfId="0" applyAlignment="1">
      <alignment horizontal="center"/>
    </xf>
    <xf numFmtId="44" fontId="0" fillId="0" borderId="0" xfId="1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4" fontId="2" fillId="0" borderId="1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2" fillId="0" borderId="1" xfId="1" applyFont="1" applyFill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5" fillId="0" borderId="0" xfId="0" applyFont="1"/>
    <xf numFmtId="165" fontId="0" fillId="0" borderId="1" xfId="1" applyNumberFormat="1" applyFont="1" applyBorder="1"/>
    <xf numFmtId="165" fontId="0" fillId="0" borderId="0" xfId="0" applyNumberFormat="1"/>
    <xf numFmtId="0" fontId="0" fillId="8" borderId="1" xfId="0" applyFill="1" applyBorder="1"/>
    <xf numFmtId="0" fontId="0" fillId="8" borderId="5" xfId="0" applyFill="1" applyBorder="1"/>
    <xf numFmtId="165" fontId="0" fillId="0" borderId="1" xfId="0" applyNumberFormat="1" applyBorder="1"/>
    <xf numFmtId="165" fontId="0" fillId="8" borderId="5" xfId="0" applyNumberFormat="1" applyFill="1" applyBorder="1"/>
    <xf numFmtId="165" fontId="0" fillId="8" borderId="5" xfId="1" applyNumberFormat="1" applyFont="1" applyFill="1" applyBorder="1"/>
    <xf numFmtId="165" fontId="2" fillId="0" borderId="0" xfId="1" applyNumberFormat="1" applyFont="1"/>
    <xf numFmtId="165" fontId="2" fillId="8" borderId="5" xfId="1" applyNumberFormat="1" applyFont="1" applyFill="1" applyBorder="1"/>
    <xf numFmtId="0" fontId="0" fillId="8" borderId="6" xfId="0" applyFill="1" applyBorder="1"/>
    <xf numFmtId="165" fontId="0" fillId="0" borderId="0" xfId="1" applyNumberFormat="1" applyFont="1"/>
    <xf numFmtId="0" fontId="2" fillId="7" borderId="1" xfId="0" applyFont="1" applyFill="1" applyBorder="1"/>
    <xf numFmtId="165" fontId="2" fillId="7" borderId="1" xfId="0" applyNumberFormat="1" applyFont="1" applyFill="1" applyBorder="1"/>
    <xf numFmtId="165" fontId="6" fillId="0" borderId="0" xfId="0" applyNumberFormat="1" applyFont="1"/>
    <xf numFmtId="165" fontId="2" fillId="2" borderId="1" xfId="0" applyNumberFormat="1" applyFont="1" applyFill="1" applyBorder="1"/>
    <xf numFmtId="0" fontId="2" fillId="2" borderId="0" xfId="0" quotePrefix="1" applyFont="1" applyFill="1"/>
    <xf numFmtId="0" fontId="2" fillId="2" borderId="0" xfId="0" applyFont="1" applyFill="1"/>
    <xf numFmtId="165" fontId="5" fillId="0" borderId="1" xfId="0" applyNumberFormat="1" applyFont="1" applyBorder="1"/>
    <xf numFmtId="0" fontId="5" fillId="0" borderId="0" xfId="0" quotePrefix="1" applyFont="1"/>
    <xf numFmtId="165" fontId="5" fillId="0" borderId="1" xfId="1" applyNumberFormat="1" applyFont="1" applyBorder="1"/>
    <xf numFmtId="0" fontId="5" fillId="7" borderId="0" xfId="0" quotePrefix="1" applyFont="1" applyFill="1"/>
    <xf numFmtId="0" fontId="6" fillId="7" borderId="0" xfId="0" applyFont="1" applyFill="1"/>
    <xf numFmtId="0" fontId="18" fillId="0" borderId="0" xfId="0" applyFont="1"/>
    <xf numFmtId="0" fontId="11" fillId="2" borderId="0" xfId="0" applyFont="1" applyFill="1"/>
    <xf numFmtId="44" fontId="0" fillId="9" borderId="1" xfId="1" applyFont="1" applyFill="1" applyBorder="1"/>
    <xf numFmtId="44" fontId="0" fillId="9" borderId="1" xfId="0" applyNumberFormat="1" applyFill="1" applyBorder="1"/>
    <xf numFmtId="166" fontId="0" fillId="0" borderId="1" xfId="1" applyNumberFormat="1" applyFont="1" applyFill="1" applyBorder="1"/>
    <xf numFmtId="0" fontId="0" fillId="9" borderId="1" xfId="0" applyFill="1" applyBorder="1"/>
    <xf numFmtId="44" fontId="2" fillId="2" borderId="1" xfId="1" applyFont="1" applyFill="1" applyBorder="1"/>
    <xf numFmtId="44" fontId="2" fillId="0" borderId="0" xfId="0" applyNumberFormat="1" applyFont="1"/>
    <xf numFmtId="0" fontId="13" fillId="0" borderId="0" xfId="0" applyFont="1"/>
    <xf numFmtId="0" fontId="5" fillId="10" borderId="1" xfId="0" applyFont="1" applyFill="1" applyBorder="1"/>
    <xf numFmtId="0" fontId="5" fillId="10" borderId="0" xfId="0" applyFont="1" applyFill="1"/>
    <xf numFmtId="0" fontId="2" fillId="3" borderId="1" xfId="0" applyFont="1" applyFill="1" applyBorder="1"/>
    <xf numFmtId="44" fontId="2" fillId="3" borderId="1" xfId="0" applyNumberFormat="1" applyFont="1" applyFill="1" applyBorder="1"/>
    <xf numFmtId="44" fontId="2" fillId="7" borderId="1" xfId="0" applyNumberFormat="1" applyFont="1" applyFill="1" applyBorder="1"/>
    <xf numFmtId="0" fontId="2" fillId="7" borderId="3" xfId="0" applyFont="1" applyFill="1" applyBorder="1"/>
    <xf numFmtId="0" fontId="2" fillId="0" borderId="3" xfId="0" applyFont="1" applyBorder="1"/>
    <xf numFmtId="44" fontId="2" fillId="3" borderId="1" xfId="1" applyFont="1" applyFill="1" applyBorder="1"/>
    <xf numFmtId="44" fontId="2" fillId="7" borderId="1" xfId="1" applyFont="1" applyFill="1" applyBorder="1"/>
    <xf numFmtId="44" fontId="2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10" fontId="0" fillId="0" borderId="1" xfId="2" applyNumberFormat="1" applyFont="1" applyBorder="1"/>
    <xf numFmtId="1" fontId="10" fillId="0" borderId="1" xfId="0" applyNumberFormat="1" applyFont="1" applyBorder="1"/>
    <xf numFmtId="1" fontId="0" fillId="0" borderId="1" xfId="0" applyNumberFormat="1" applyBorder="1"/>
    <xf numFmtId="0" fontId="0" fillId="0" borderId="3" xfId="0" applyBorder="1"/>
    <xf numFmtId="9" fontId="0" fillId="0" borderId="1" xfId="2" applyFont="1" applyBorder="1"/>
    <xf numFmtId="44" fontId="0" fillId="0" borderId="5" xfId="0" applyNumberFormat="1" applyBorder="1"/>
    <xf numFmtId="44" fontId="0" fillId="0" borderId="0" xfId="1" applyFont="1"/>
    <xf numFmtId="1" fontId="5" fillId="0" borderId="1" xfId="0" applyNumberFormat="1" applyFont="1" applyBorder="1"/>
    <xf numFmtId="9" fontId="0" fillId="0" borderId="0" xfId="0" applyNumberFormat="1"/>
    <xf numFmtId="2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168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168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6" fontId="0" fillId="12" borderId="0" xfId="0" applyNumberFormat="1" applyFill="1"/>
    <xf numFmtId="168" fontId="10" fillId="0" borderId="0" xfId="0" applyNumberFormat="1" applyFont="1"/>
    <xf numFmtId="0" fontId="10" fillId="0" borderId="0" xfId="0" applyFont="1" applyAlignment="1">
      <alignment horizontal="center" vertical="center" wrapText="1"/>
    </xf>
    <xf numFmtId="168" fontId="5" fillId="0" borderId="0" xfId="0" applyNumberFormat="1" applyFont="1"/>
    <xf numFmtId="0" fontId="10" fillId="0" borderId="0" xfId="0" applyFont="1" applyAlignment="1">
      <alignment horizontal="center"/>
    </xf>
    <xf numFmtId="6" fontId="0" fillId="0" borderId="0" xfId="0" applyNumberFormat="1"/>
    <xf numFmtId="10" fontId="0" fillId="0" borderId="0" xfId="2" applyNumberFormat="1" applyFont="1"/>
    <xf numFmtId="0" fontId="0" fillId="2" borderId="0" xfId="0" quotePrefix="1" applyFill="1" applyAlignment="1">
      <alignment horizontal="center"/>
    </xf>
    <xf numFmtId="168" fontId="0" fillId="0" borderId="1" xfId="0" applyNumberFormat="1" applyBorder="1"/>
    <xf numFmtId="168" fontId="0" fillId="0" borderId="1" xfId="0" quotePrefix="1" applyNumberFormat="1" applyBorder="1"/>
    <xf numFmtId="0" fontId="0" fillId="0" borderId="0" xfId="0" applyAlignment="1">
      <alignment horizontal="center" vertical="center" wrapText="1"/>
    </xf>
    <xf numFmtId="168" fontId="0" fillId="2" borderId="1" xfId="0" applyNumberFormat="1" applyFill="1" applyBorder="1"/>
    <xf numFmtId="0" fontId="10" fillId="0" borderId="1" xfId="0" applyFont="1" applyBorder="1" applyAlignment="1">
      <alignment horizontal="center"/>
    </xf>
    <xf numFmtId="168" fontId="5" fillId="13" borderId="0" xfId="0" applyNumberFormat="1" applyFont="1" applyFill="1"/>
    <xf numFmtId="168" fontId="6" fillId="0" borderId="0" xfId="0" applyNumberFormat="1" applyFont="1"/>
    <xf numFmtId="0" fontId="6" fillId="0" borderId="0" xfId="0" applyFont="1" applyAlignment="1">
      <alignment horizontal="center"/>
    </xf>
    <xf numFmtId="168" fontId="13" fillId="13" borderId="0" xfId="0" applyNumberFormat="1" applyFont="1" applyFill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10" fontId="5" fillId="4" borderId="1" xfId="2" applyNumberFormat="1" applyFont="1" applyFill="1" applyBorder="1" applyAlignment="1">
      <alignment horizontal="center"/>
    </xf>
    <xf numFmtId="168" fontId="5" fillId="0" borderId="1" xfId="0" applyNumberFormat="1" applyFont="1" applyBorder="1"/>
    <xf numFmtId="169" fontId="5" fillId="0" borderId="1" xfId="0" applyNumberFormat="1" applyFont="1" applyBorder="1"/>
    <xf numFmtId="9" fontId="5" fillId="4" borderId="1" xfId="2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9" fontId="5" fillId="13" borderId="1" xfId="0" applyNumberFormat="1" applyFont="1" applyFill="1" applyBorder="1"/>
    <xf numFmtId="0" fontId="13" fillId="0" borderId="0" xfId="0" applyFont="1" applyAlignment="1">
      <alignment vertical="center" wrapText="1"/>
    </xf>
    <xf numFmtId="0" fontId="20" fillId="0" borderId="1" xfId="0" applyFont="1" applyBorder="1" applyAlignment="1">
      <alignment horizontal="center"/>
    </xf>
    <xf numFmtId="0" fontId="2" fillId="13" borderId="0" xfId="0" applyFont="1" applyFill="1"/>
    <xf numFmtId="168" fontId="2" fillId="13" borderId="0" xfId="0" applyNumberFormat="1" applyFont="1" applyFill="1"/>
    <xf numFmtId="168" fontId="0" fillId="0" borderId="0" xfId="0" applyNumberFormat="1"/>
    <xf numFmtId="0" fontId="0" fillId="12" borderId="1" xfId="0" applyFill="1" applyBorder="1"/>
    <xf numFmtId="0" fontId="2" fillId="6" borderId="1" xfId="0" applyFont="1" applyFill="1" applyBorder="1"/>
    <xf numFmtId="0" fontId="10" fillId="0" borderId="1" xfId="0" quotePrefix="1" applyFont="1" applyBorder="1" applyAlignment="1">
      <alignment horizontal="center"/>
    </xf>
    <xf numFmtId="10" fontId="2" fillId="12" borderId="1" xfId="2" applyNumberFormat="1" applyFont="1" applyFill="1" applyBorder="1"/>
    <xf numFmtId="0" fontId="0" fillId="0" borderId="0" xfId="0" quotePrefix="1" applyAlignment="1">
      <alignment horizontal="center"/>
    </xf>
    <xf numFmtId="44" fontId="14" fillId="2" borderId="1" xfId="1" applyFont="1" applyFill="1" applyBorder="1"/>
    <xf numFmtId="44" fontId="12" fillId="0" borderId="1" xfId="0" applyNumberFormat="1" applyFont="1" applyBorder="1"/>
    <xf numFmtId="0" fontId="12" fillId="0" borderId="1" xfId="0" applyFont="1" applyBorder="1"/>
    <xf numFmtId="44" fontId="12" fillId="11" borderId="1" xfId="0" applyNumberFormat="1" applyFont="1" applyFill="1" applyBorder="1"/>
    <xf numFmtId="44" fontId="5" fillId="0" borderId="1" xfId="0" applyNumberFormat="1" applyFont="1" applyBorder="1" applyAlignment="1">
      <alignment horizontal="center"/>
    </xf>
    <xf numFmtId="44" fontId="2" fillId="2" borderId="0" xfId="1" applyFont="1" applyFill="1"/>
    <xf numFmtId="0" fontId="0" fillId="0" borderId="1" xfId="1" applyNumberFormat="1" applyFont="1" applyBorder="1"/>
    <xf numFmtId="2" fontId="0" fillId="0" borderId="1" xfId="2" applyNumberFormat="1" applyFont="1" applyBorder="1"/>
    <xf numFmtId="0" fontId="2" fillId="0" borderId="1" xfId="0" applyFont="1" applyBorder="1" applyAlignment="1">
      <alignment horizontal="center" wrapText="1"/>
    </xf>
    <xf numFmtId="0" fontId="16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5" fillId="0" borderId="3" xfId="0" applyNumberFormat="1" applyFont="1" applyBorder="1" applyAlignment="1">
      <alignment horizontal="center"/>
    </xf>
    <xf numFmtId="44" fontId="5" fillId="0" borderId="4" xfId="0" applyNumberFormat="1" applyFont="1" applyBorder="1" applyAlignment="1">
      <alignment horizontal="center"/>
    </xf>
    <xf numFmtId="44" fontId="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665480</xdr:colOff>
      <xdr:row>26</xdr:row>
      <xdr:rowOff>213360</xdr:rowOff>
    </xdr:from>
    <xdr:to>
      <xdr:col>2</xdr:col>
      <xdr:colOff>736600</xdr:colOff>
      <xdr:row>28</xdr:row>
      <xdr:rowOff>10160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BA07B726-25B7-464B-99EA-17A336C9B07C}"/>
            </a:ext>
          </a:extLst>
        </xdr:cNvPr>
        <xdr:cNvCxnSpPr/>
      </xdr:nvCxnSpPr>
      <xdr:spPr>
        <a:xfrm flipH="1">
          <a:off x="3999230" y="5499735"/>
          <a:ext cx="71120" cy="196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1219202</xdr:colOff>
      <xdr:row>7</xdr:row>
      <xdr:rowOff>114300</xdr:rowOff>
    </xdr:from>
    <xdr:to>
      <xdr:col>8</xdr:col>
      <xdr:colOff>435428</xdr:colOff>
      <xdr:row>14</xdr:row>
      <xdr:rowOff>65315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31B767A6-8030-4AEC-AA5C-CC6CE2D706FE}"/>
            </a:ext>
          </a:extLst>
        </xdr:cNvPr>
        <xdr:cNvCxnSpPr/>
      </xdr:nvCxnSpPr>
      <xdr:spPr>
        <a:xfrm flipH="1">
          <a:off x="3114677" y="1647825"/>
          <a:ext cx="6217101" cy="166551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586740</xdr:colOff>
      <xdr:row>33</xdr:row>
      <xdr:rowOff>144780</xdr:rowOff>
    </xdr:from>
    <xdr:to>
      <xdr:col>13</xdr:col>
      <xdr:colOff>609600</xdr:colOff>
      <xdr:row>50</xdr:row>
      <xdr:rowOff>129540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5C1374F2-52FF-42E1-A375-90C7F4EA71CD}"/>
            </a:ext>
          </a:extLst>
        </xdr:cNvPr>
        <xdr:cNvSpPr txBox="1"/>
      </xdr:nvSpPr>
      <xdr:spPr>
        <a:xfrm>
          <a:off x="8359140" y="6263640"/>
          <a:ext cx="4800600" cy="3093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Analyse de la</a:t>
          </a:r>
          <a:r>
            <a:rPr lang="fr-FR" sz="1100" baseline="0"/>
            <a:t> MP</a:t>
          </a:r>
        </a:p>
        <a:p>
          <a:endParaRPr lang="fr-FR" sz="1100" baseline="0"/>
        </a:p>
        <a:p>
          <a:r>
            <a:rPr lang="fr-FR" sz="1100" baseline="0"/>
            <a:t>Cout réel  :   35280€  (pour 1960 Kg acheté)  P. Achat au Kg : 18€ en réel</a:t>
          </a:r>
        </a:p>
        <a:p>
          <a:endParaRPr lang="fr-FR" sz="1100" baseline="0"/>
        </a:p>
        <a:p>
          <a:r>
            <a:rPr lang="fr-FR" sz="1100" baseline="0"/>
            <a:t>Coût prévu adapté à la production réelle : </a:t>
          </a:r>
        </a:p>
        <a:p>
          <a:endParaRPr lang="fr-FR" sz="1100" baseline="0"/>
        </a:p>
        <a:p>
          <a:r>
            <a:rPr lang="fr-FR" sz="1100"/>
            <a:t>Production réelle : 7820 pots</a:t>
          </a:r>
        </a:p>
        <a:p>
          <a:r>
            <a:rPr lang="fr-FR" sz="1100"/>
            <a:t> 1 pot  = 5€ de MP en coût prévu</a:t>
          </a:r>
        </a:p>
        <a:p>
          <a:endParaRPr lang="fr-FR" sz="1100"/>
        </a:p>
        <a:p>
          <a:r>
            <a:rPr lang="fr-FR" sz="1100"/>
            <a:t>7820</a:t>
          </a:r>
          <a:r>
            <a:rPr lang="fr-FR" sz="1100" baseline="0"/>
            <a:t> * 5 = 39100€</a:t>
          </a:r>
          <a:endParaRPr lang="fr-FR" sz="1100"/>
        </a:p>
        <a:p>
          <a:endParaRPr lang="fr-FR" sz="1100"/>
        </a:p>
        <a:p>
          <a:r>
            <a:rPr lang="fr-FR" sz="1100"/>
            <a:t>ECART</a:t>
          </a:r>
          <a:r>
            <a:rPr lang="fr-FR" sz="1100" baseline="0"/>
            <a:t> GLOBAL  : 35280  - 39100  =  -3820€ FAV</a:t>
          </a:r>
        </a:p>
        <a:p>
          <a:endParaRPr lang="fr-FR" sz="1100" baseline="0"/>
        </a:p>
        <a:p>
          <a:r>
            <a:rPr lang="fr-FR" sz="1100" baseline="0"/>
            <a:t>E/ PRIX   :  (18€ -   20€)   * 1960 Kg  =  -3920€  FAV</a:t>
          </a:r>
        </a:p>
        <a:p>
          <a:r>
            <a:rPr lang="fr-FR" sz="1100" baseline="0"/>
            <a:t>E/ QTE  : (1960  -  (7820*0,250))  * 20€  = 100€ DEF</a:t>
          </a:r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48</xdr:row>
      <xdr:rowOff>52387</xdr:rowOff>
    </xdr:from>
    <xdr:to>
      <xdr:col>4</xdr:col>
      <xdr:colOff>560070</xdr:colOff>
      <xdr:row>53</xdr:row>
      <xdr:rowOff>143827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D835C6E7-70AF-4469-A51F-4870A79AE64B}"/>
            </a:ext>
          </a:extLst>
        </xdr:cNvPr>
        <xdr:cNvSpPr txBox="1"/>
      </xdr:nvSpPr>
      <xdr:spPr>
        <a:xfrm>
          <a:off x="152400" y="9567862"/>
          <a:ext cx="4522470" cy="1043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Nouveau</a:t>
          </a:r>
          <a:r>
            <a:rPr lang="fr-FR" sz="1100" baseline="0"/>
            <a:t> CA : 1 182 750/0,90  + 5000/0,90 = 1 319 722€</a:t>
          </a:r>
        </a:p>
        <a:p>
          <a:endParaRPr lang="fr-FR" sz="1100" baseline="0"/>
        </a:p>
        <a:p>
          <a:r>
            <a:rPr lang="fr-FR" sz="1100" baseline="0"/>
            <a:t>Vérification :</a:t>
          </a:r>
        </a:p>
        <a:p>
          <a:r>
            <a:rPr lang="fr-FR" sz="1100" baseline="0"/>
            <a:t>Cout centrale de réservation : 1 319 722 *0 ,10 + 5000 =  136 972€</a:t>
          </a:r>
        </a:p>
        <a:p>
          <a:r>
            <a:rPr lang="fr-FR" sz="1100" baseline="0"/>
            <a:t>Nouveau CA = 1 182 750 + 136 972 =&gt;  1 319 722€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86C2D-9C06-4070-A27F-261300C7E748}">
  <dimension ref="A1:L38"/>
  <sheetViews>
    <sheetView showGridLines="0" workbookViewId="0">
      <selection activeCell="G12" sqref="G12"/>
    </sheetView>
  </sheetViews>
  <sheetFormatPr baseColWidth="10" defaultRowHeight="14.4" x14ac:dyDescent="0.3"/>
  <cols>
    <col min="1" max="1" width="34.88671875" customWidth="1"/>
    <col min="2" max="2" width="15.109375" bestFit="1" customWidth="1"/>
    <col min="3" max="3" width="16.44140625" customWidth="1"/>
    <col min="4" max="4" width="14.88671875" bestFit="1" customWidth="1"/>
    <col min="6" max="6" width="14" bestFit="1" customWidth="1"/>
    <col min="7" max="7" width="14.88671875" bestFit="1" customWidth="1"/>
    <col min="8" max="8" width="11.88671875" bestFit="1" customWidth="1"/>
    <col min="9" max="9" width="15.88671875" customWidth="1"/>
    <col min="10" max="10" width="13.44140625" bestFit="1" customWidth="1"/>
    <col min="12" max="12" width="13.33203125" customWidth="1"/>
    <col min="13" max="13" width="12.88671875" bestFit="1" customWidth="1"/>
  </cols>
  <sheetData>
    <row r="1" spans="1:10" ht="23.4" x14ac:dyDescent="0.45">
      <c r="A1" s="167" t="s">
        <v>231</v>
      </c>
      <c r="B1" s="167"/>
      <c r="C1" s="167"/>
      <c r="D1" s="167"/>
      <c r="E1" s="167"/>
      <c r="F1" s="167"/>
      <c r="G1" s="167"/>
      <c r="H1" s="167"/>
      <c r="I1" s="167"/>
      <c r="J1" s="167"/>
    </row>
    <row r="3" spans="1:10" x14ac:dyDescent="0.3">
      <c r="A3" s="15" t="s">
        <v>3</v>
      </c>
    </row>
    <row r="4" spans="1:10" x14ac:dyDescent="0.3">
      <c r="A4" s="1"/>
      <c r="B4" s="14" t="s">
        <v>2</v>
      </c>
      <c r="C4" s="14" t="s">
        <v>1</v>
      </c>
      <c r="D4" s="14" t="s">
        <v>0</v>
      </c>
    </row>
    <row r="5" spans="1:10" x14ac:dyDescent="0.3">
      <c r="A5" s="1" t="s">
        <v>4</v>
      </c>
      <c r="B5" s="1">
        <v>20</v>
      </c>
      <c r="C5" s="16">
        <f>120000/180000</f>
        <v>0.66666666666666663</v>
      </c>
      <c r="D5" s="17">
        <f>B5*C5</f>
        <v>13.333333333333332</v>
      </c>
    </row>
    <row r="6" spans="1:10" x14ac:dyDescent="0.3">
      <c r="A6" s="1" t="s">
        <v>5</v>
      </c>
      <c r="B6" s="1">
        <f>20250/9000</f>
        <v>2.25</v>
      </c>
      <c r="C6" s="18">
        <f>445500/20250</f>
        <v>22</v>
      </c>
      <c r="D6" s="17">
        <f t="shared" ref="D6:D7" si="0">B6*C6</f>
        <v>49.5</v>
      </c>
    </row>
    <row r="7" spans="1:10" x14ac:dyDescent="0.3">
      <c r="A7" s="1" t="s">
        <v>6</v>
      </c>
      <c r="B7" s="1">
        <f>13500/9000</f>
        <v>1.5</v>
      </c>
      <c r="C7" s="18">
        <f>1107000/13500</f>
        <v>82</v>
      </c>
      <c r="D7" s="17">
        <f t="shared" si="0"/>
        <v>123</v>
      </c>
    </row>
    <row r="8" spans="1:10" ht="21" x14ac:dyDescent="0.4">
      <c r="A8" s="168" t="s">
        <v>7</v>
      </c>
      <c r="B8" s="168"/>
      <c r="C8" s="168"/>
      <c r="D8" s="19">
        <f>SUM(D5:D7)</f>
        <v>185.83333333333331</v>
      </c>
    </row>
    <row r="9" spans="1:10" ht="21" x14ac:dyDescent="0.4">
      <c r="A9" s="20"/>
      <c r="B9" s="20"/>
      <c r="C9" s="20"/>
      <c r="D9" s="21"/>
    </row>
    <row r="10" spans="1:10" ht="21" x14ac:dyDescent="0.4">
      <c r="A10" s="20"/>
      <c r="B10" s="20"/>
      <c r="C10" s="20"/>
      <c r="D10" s="21"/>
    </row>
    <row r="11" spans="1:10" x14ac:dyDescent="0.3">
      <c r="A11" s="15" t="s">
        <v>8</v>
      </c>
    </row>
    <row r="13" spans="1:10" x14ac:dyDescent="0.3">
      <c r="A13" s="10" t="s">
        <v>9</v>
      </c>
      <c r="B13" s="10" t="s">
        <v>10</v>
      </c>
      <c r="C13" s="22" t="s">
        <v>11</v>
      </c>
    </row>
    <row r="14" spans="1:10" x14ac:dyDescent="0.3">
      <c r="A14" s="1" t="s">
        <v>12</v>
      </c>
      <c r="B14" s="2">
        <f>14200*37.5</f>
        <v>532500</v>
      </c>
      <c r="C14" s="12">
        <v>506250</v>
      </c>
    </row>
    <row r="15" spans="1:10" x14ac:dyDescent="0.3">
      <c r="A15" s="1" t="s">
        <v>13</v>
      </c>
      <c r="B15" s="2">
        <v>600750</v>
      </c>
      <c r="C15" s="23">
        <f>C16-C14</f>
        <v>600750</v>
      </c>
    </row>
    <row r="16" spans="1:10" x14ac:dyDescent="0.3">
      <c r="A16" s="1" t="s">
        <v>14</v>
      </c>
      <c r="B16" s="2">
        <f>B14+B15</f>
        <v>1133250</v>
      </c>
      <c r="C16" s="23">
        <v>1107000</v>
      </c>
    </row>
    <row r="17" spans="1:12" ht="18" x14ac:dyDescent="0.35">
      <c r="A17" s="1" t="s">
        <v>15</v>
      </c>
      <c r="B17" s="2">
        <f>B16/14200</f>
        <v>79.806338028169009</v>
      </c>
      <c r="C17" s="24">
        <f>C16/13500</f>
        <v>82</v>
      </c>
    </row>
    <row r="18" spans="1:12" ht="21" x14ac:dyDescent="0.4">
      <c r="A18" s="25" t="s">
        <v>16</v>
      </c>
      <c r="B18" s="2">
        <f>B14/14200</f>
        <v>37.5</v>
      </c>
      <c r="C18" s="26">
        <f>C14/13500</f>
        <v>37.5</v>
      </c>
      <c r="D18" s="9" t="s">
        <v>17</v>
      </c>
    </row>
    <row r="19" spans="1:12" x14ac:dyDescent="0.3">
      <c r="A19" s="25" t="s">
        <v>18</v>
      </c>
      <c r="B19" s="2">
        <f>B15/14200</f>
        <v>42.306338028169016</v>
      </c>
      <c r="C19" s="12">
        <f>C15/13500</f>
        <v>44.5</v>
      </c>
    </row>
    <row r="20" spans="1:12" x14ac:dyDescent="0.3">
      <c r="A20" s="169"/>
      <c r="B20" s="169"/>
      <c r="C20" s="27"/>
      <c r="I20" s="169" t="s">
        <v>19</v>
      </c>
      <c r="J20" s="169"/>
      <c r="K20" s="169"/>
      <c r="L20" s="169"/>
    </row>
    <row r="21" spans="1:12" x14ac:dyDescent="0.3">
      <c r="A21" s="28"/>
      <c r="B21" s="28"/>
      <c r="C21" s="27"/>
      <c r="I21" s="28"/>
      <c r="J21" s="28"/>
      <c r="K21" s="28"/>
      <c r="L21" s="28"/>
    </row>
    <row r="22" spans="1:12" x14ac:dyDescent="0.3">
      <c r="A22" s="29" t="s">
        <v>20</v>
      </c>
      <c r="B22" s="28"/>
      <c r="C22" s="27"/>
      <c r="I22" s="28"/>
      <c r="J22" s="28"/>
      <c r="K22" s="28"/>
      <c r="L22" s="28"/>
    </row>
    <row r="23" spans="1:12" x14ac:dyDescent="0.3">
      <c r="A23" s="170" t="s">
        <v>19</v>
      </c>
      <c r="B23" s="170"/>
      <c r="C23" s="170"/>
      <c r="D23" s="170"/>
    </row>
    <row r="24" spans="1:12" s="32" customFormat="1" x14ac:dyDescent="0.3">
      <c r="A24" s="30" t="s">
        <v>21</v>
      </c>
      <c r="B24" s="30">
        <v>69000</v>
      </c>
      <c r="C24" s="31">
        <v>0.7</v>
      </c>
      <c r="D24" s="31">
        <f>+B24*C24</f>
        <v>48300</v>
      </c>
    </row>
    <row r="25" spans="1:12" x14ac:dyDescent="0.3">
      <c r="A25" s="33">
        <v>43376</v>
      </c>
      <c r="B25" s="30">
        <v>90000</v>
      </c>
      <c r="C25" s="31">
        <v>0.62</v>
      </c>
      <c r="D25" s="31">
        <f t="shared" ref="D25:D26" si="1">+B25*C25</f>
        <v>55800</v>
      </c>
    </row>
    <row r="26" spans="1:12" x14ac:dyDescent="0.3">
      <c r="A26" s="33">
        <v>43419</v>
      </c>
      <c r="B26" s="30">
        <v>96000</v>
      </c>
      <c r="C26" s="31">
        <v>0.75</v>
      </c>
      <c r="D26" s="31">
        <f t="shared" si="1"/>
        <v>72000</v>
      </c>
    </row>
    <row r="27" spans="1:12" x14ac:dyDescent="0.3">
      <c r="A27" s="34" t="s">
        <v>22</v>
      </c>
      <c r="B27" s="34">
        <f>SUM(B24:B26)</f>
        <v>255000</v>
      </c>
      <c r="C27" s="35">
        <f>176100/255000</f>
        <v>0.69058823529411761</v>
      </c>
      <c r="D27" s="35">
        <f>+SUM(D24:D26)</f>
        <v>176100</v>
      </c>
      <c r="H27" s="13"/>
    </row>
    <row r="28" spans="1:12" x14ac:dyDescent="0.3">
      <c r="A28" s="30" t="s">
        <v>23</v>
      </c>
      <c r="B28" s="30">
        <v>81600</v>
      </c>
      <c r="C28" s="30"/>
      <c r="D28" s="30"/>
    </row>
    <row r="29" spans="1:12" x14ac:dyDescent="0.3">
      <c r="A29" s="36" t="s">
        <v>24</v>
      </c>
      <c r="B29" s="37">
        <f>B27-B28</f>
        <v>173400</v>
      </c>
      <c r="C29" s="38">
        <v>0.69</v>
      </c>
      <c r="D29" s="39">
        <f>B29*C29</f>
        <v>119645.99999999999</v>
      </c>
    </row>
    <row r="33" spans="1:7" x14ac:dyDescent="0.3">
      <c r="A33" s="40">
        <v>9230</v>
      </c>
      <c r="B33" s="166" t="s">
        <v>25</v>
      </c>
      <c r="C33" s="166"/>
      <c r="D33" s="166"/>
      <c r="E33" s="166" t="s">
        <v>26</v>
      </c>
      <c r="F33" s="166"/>
      <c r="G33" s="166"/>
    </row>
    <row r="34" spans="1:7" x14ac:dyDescent="0.3">
      <c r="A34" s="1"/>
      <c r="B34" s="14" t="s">
        <v>2</v>
      </c>
      <c r="C34" s="14" t="s">
        <v>1</v>
      </c>
      <c r="D34" s="14" t="s">
        <v>0</v>
      </c>
      <c r="E34" s="14" t="s">
        <v>2</v>
      </c>
      <c r="F34" s="14" t="s">
        <v>1</v>
      </c>
      <c r="G34" s="14" t="s">
        <v>0</v>
      </c>
    </row>
    <row r="35" spans="1:7" x14ac:dyDescent="0.3">
      <c r="A35" s="1" t="s">
        <v>4</v>
      </c>
      <c r="B35" s="41">
        <v>173400</v>
      </c>
      <c r="C35" s="42">
        <f>176100/255000</f>
        <v>0.69058823529411761</v>
      </c>
      <c r="D35" s="38">
        <f>B35*C35</f>
        <v>119748</v>
      </c>
      <c r="E35" s="30">
        <f>B5*9230</f>
        <v>184600</v>
      </c>
      <c r="F35" s="43">
        <f>C5</f>
        <v>0.66666666666666663</v>
      </c>
      <c r="G35" s="8">
        <f>E35*F35</f>
        <v>123066.66666666666</v>
      </c>
    </row>
    <row r="36" spans="1:7" x14ac:dyDescent="0.3">
      <c r="A36" s="1" t="s">
        <v>5</v>
      </c>
      <c r="B36" s="30">
        <v>20400</v>
      </c>
      <c r="C36" s="44">
        <v>21</v>
      </c>
      <c r="D36" s="44">
        <f>B36*C36</f>
        <v>428400</v>
      </c>
      <c r="E36" s="30">
        <f>2.25*9230</f>
        <v>20767.5</v>
      </c>
      <c r="F36" s="43">
        <f>C6</f>
        <v>22</v>
      </c>
      <c r="G36" s="8">
        <f t="shared" ref="G36:G37" si="2">E36*F36</f>
        <v>456885</v>
      </c>
    </row>
    <row r="37" spans="1:7" x14ac:dyDescent="0.3">
      <c r="A37" s="1" t="s">
        <v>27</v>
      </c>
      <c r="B37" s="30">
        <v>14200</v>
      </c>
      <c r="C37" s="44">
        <v>81</v>
      </c>
      <c r="D37" s="44">
        <f>B37*C37</f>
        <v>1150200</v>
      </c>
      <c r="E37" s="30">
        <f>B7*9230</f>
        <v>13845</v>
      </c>
      <c r="F37" s="43">
        <f>C7</f>
        <v>82</v>
      </c>
      <c r="G37" s="8">
        <f t="shared" si="2"/>
        <v>1135290</v>
      </c>
    </row>
    <row r="38" spans="1:7" ht="21" x14ac:dyDescent="0.4">
      <c r="A38" s="11" t="s">
        <v>28</v>
      </c>
      <c r="B38" s="34">
        <v>9230</v>
      </c>
      <c r="C38" s="45">
        <f>D38/B38</f>
        <v>184.00303358613218</v>
      </c>
      <c r="D38" s="46">
        <f>D35+D36+D37</f>
        <v>1698348</v>
      </c>
      <c r="E38" s="34">
        <v>9230</v>
      </c>
      <c r="F38" s="47">
        <f>G38/E38</f>
        <v>185.83333333333331</v>
      </c>
      <c r="G38" s="46">
        <f>SUM(G35:G37)</f>
        <v>1715241.6666666665</v>
      </c>
    </row>
  </sheetData>
  <mergeCells count="7">
    <mergeCell ref="B33:D33"/>
    <mergeCell ref="E33:G33"/>
    <mergeCell ref="A1:J1"/>
    <mergeCell ref="A8:C8"/>
    <mergeCell ref="A20:B20"/>
    <mergeCell ref="I20:L20"/>
    <mergeCell ref="A23:D2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B708-95A4-4180-BE94-1E53F8C0CA47}">
  <dimension ref="A1:N54"/>
  <sheetViews>
    <sheetView showGridLines="0" workbookViewId="0">
      <selection activeCell="G21" sqref="G21"/>
    </sheetView>
  </sheetViews>
  <sheetFormatPr baseColWidth="10" defaultRowHeight="14.4" x14ac:dyDescent="0.3"/>
  <cols>
    <col min="2" max="2" width="17" customWidth="1"/>
    <col min="3" max="3" width="18.44140625" customWidth="1"/>
    <col min="4" max="4" width="24.5546875" customWidth="1"/>
    <col min="5" max="5" width="11.6640625" customWidth="1"/>
    <col min="6" max="6" width="11.88671875" bestFit="1" customWidth="1"/>
    <col min="7" max="7" width="21.5546875" customWidth="1"/>
    <col min="8" max="9" width="16.88671875" customWidth="1"/>
    <col min="10" max="10" width="12.6640625" bestFit="1" customWidth="1"/>
    <col min="11" max="11" width="16.88671875" customWidth="1"/>
    <col min="13" max="13" width="17.109375" customWidth="1"/>
    <col min="14" max="14" width="19.6640625" customWidth="1"/>
    <col min="16" max="16" width="14.33203125" bestFit="1" customWidth="1"/>
  </cols>
  <sheetData>
    <row r="1" spans="1:14" ht="23.4" x14ac:dyDescent="0.45">
      <c r="A1" s="167" t="s">
        <v>29</v>
      </c>
      <c r="B1" s="167"/>
      <c r="C1" s="167"/>
      <c r="D1" s="167"/>
      <c r="E1" s="167"/>
      <c r="F1" s="167"/>
      <c r="G1" s="167"/>
      <c r="H1" s="167"/>
      <c r="I1" s="167"/>
      <c r="J1" s="167"/>
    </row>
    <row r="4" spans="1:14" ht="18" x14ac:dyDescent="0.35">
      <c r="A4" s="49" t="s">
        <v>30</v>
      </c>
      <c r="B4" s="49"/>
      <c r="C4" s="49">
        <v>7200</v>
      </c>
      <c r="F4" s="1"/>
      <c r="G4" s="14" t="s">
        <v>31</v>
      </c>
      <c r="H4" s="14" t="s">
        <v>32</v>
      </c>
      <c r="I4" s="14" t="s">
        <v>33</v>
      </c>
    </row>
    <row r="5" spans="1:14" ht="18" x14ac:dyDescent="0.35">
      <c r="A5" s="49" t="s">
        <v>34</v>
      </c>
      <c r="B5" s="49"/>
      <c r="C5" s="49">
        <v>7000</v>
      </c>
      <c r="F5" s="1" t="s">
        <v>35</v>
      </c>
      <c r="G5" s="1">
        <v>8</v>
      </c>
      <c r="H5" s="50">
        <v>40</v>
      </c>
      <c r="I5" s="17">
        <f>+G5*H5</f>
        <v>320</v>
      </c>
    </row>
    <row r="6" spans="1:14" x14ac:dyDescent="0.3">
      <c r="F6" s="1" t="s">
        <v>36</v>
      </c>
      <c r="G6" s="1">
        <v>2</v>
      </c>
      <c r="H6" s="50">
        <v>15</v>
      </c>
      <c r="I6" s="17">
        <f>+G6*H6</f>
        <v>30</v>
      </c>
    </row>
    <row r="7" spans="1:14" x14ac:dyDescent="0.3">
      <c r="F7" s="1" t="s">
        <v>5</v>
      </c>
      <c r="G7" s="1">
        <v>5</v>
      </c>
      <c r="H7" s="50">
        <v>50</v>
      </c>
      <c r="I7" s="17">
        <f>+G7*H7</f>
        <v>250</v>
      </c>
    </row>
    <row r="8" spans="1:14" x14ac:dyDescent="0.3">
      <c r="F8" s="173" t="s">
        <v>37</v>
      </c>
      <c r="G8" s="174"/>
      <c r="H8" s="175"/>
      <c r="I8" s="17">
        <f>+SUM(I5:I7)</f>
        <v>600</v>
      </c>
    </row>
    <row r="9" spans="1:14" x14ac:dyDescent="0.3">
      <c r="F9" s="51"/>
      <c r="G9" s="51"/>
      <c r="H9" s="51"/>
      <c r="I9" s="52"/>
    </row>
    <row r="12" spans="1:14" x14ac:dyDescent="0.3">
      <c r="A12" s="168" t="s">
        <v>38</v>
      </c>
      <c r="B12" s="168"/>
      <c r="C12" s="168"/>
      <c r="D12" s="168"/>
      <c r="F12" s="168" t="s">
        <v>39</v>
      </c>
      <c r="G12" s="168"/>
      <c r="H12" s="168"/>
      <c r="I12" s="168"/>
      <c r="K12" s="168" t="s">
        <v>40</v>
      </c>
      <c r="L12" s="168"/>
      <c r="M12" s="168"/>
      <c r="N12" s="168"/>
    </row>
    <row r="13" spans="1:14" x14ac:dyDescent="0.3">
      <c r="A13" s="1"/>
      <c r="B13" s="14" t="s">
        <v>31</v>
      </c>
      <c r="C13" s="14" t="s">
        <v>32</v>
      </c>
      <c r="D13" s="14" t="s">
        <v>33</v>
      </c>
      <c r="F13" s="1"/>
      <c r="G13" s="14" t="s">
        <v>31</v>
      </c>
      <c r="H13" s="14" t="s">
        <v>32</v>
      </c>
      <c r="I13" s="14" t="s">
        <v>33</v>
      </c>
      <c r="K13" s="1"/>
      <c r="L13" s="14" t="s">
        <v>31</v>
      </c>
      <c r="M13" s="14" t="s">
        <v>32</v>
      </c>
      <c r="N13" s="14" t="s">
        <v>33</v>
      </c>
    </row>
    <row r="14" spans="1:14" x14ac:dyDescent="0.3">
      <c r="A14" s="1" t="s">
        <v>5</v>
      </c>
      <c r="B14" s="1">
        <f>C5*G7</f>
        <v>35000</v>
      </c>
      <c r="C14" s="50">
        <v>50</v>
      </c>
      <c r="D14" s="17">
        <f>+B14*C14</f>
        <v>1750000</v>
      </c>
      <c r="F14" s="1" t="s">
        <v>5</v>
      </c>
      <c r="G14" s="1">
        <v>37000</v>
      </c>
      <c r="H14" s="17">
        <v>51</v>
      </c>
      <c r="I14" s="17">
        <f>+G14*H14</f>
        <v>1887000</v>
      </c>
      <c r="K14" s="1" t="s">
        <v>5</v>
      </c>
      <c r="L14" s="1">
        <f>7200*G7</f>
        <v>36000</v>
      </c>
      <c r="M14" s="17">
        <f>+H7</f>
        <v>50</v>
      </c>
      <c r="N14" s="17">
        <f>+L14*M14</f>
        <v>1800000</v>
      </c>
    </row>
    <row r="15" spans="1:14" x14ac:dyDescent="0.3">
      <c r="A15" s="53" t="s">
        <v>41</v>
      </c>
      <c r="B15" s="54">
        <f>C5</f>
        <v>7000</v>
      </c>
      <c r="C15" s="55">
        <f>D15/B15</f>
        <v>250</v>
      </c>
      <c r="D15" s="5">
        <f>+SUM(D14:D14)</f>
        <v>1750000</v>
      </c>
      <c r="F15" s="53" t="s">
        <v>41</v>
      </c>
      <c r="G15" s="54">
        <f>C5</f>
        <v>7000</v>
      </c>
      <c r="H15" s="56">
        <f>I15/G15</f>
        <v>269.57142857142856</v>
      </c>
      <c r="I15" s="5">
        <f>+SUM(I14:I14)</f>
        <v>1887000</v>
      </c>
      <c r="K15" s="53" t="s">
        <v>41</v>
      </c>
      <c r="L15" s="54">
        <f>H5</f>
        <v>40</v>
      </c>
      <c r="M15" s="56">
        <f>N15/L15</f>
        <v>45000</v>
      </c>
      <c r="N15" s="5">
        <f>+SUM(N14:N14)</f>
        <v>1800000</v>
      </c>
    </row>
    <row r="17" spans="1:10" ht="72.599999999999994" customHeight="1" x14ac:dyDescent="0.3">
      <c r="B17" s="48" t="s">
        <v>39</v>
      </c>
      <c r="C17" s="48" t="s">
        <v>40</v>
      </c>
      <c r="D17" s="48" t="s">
        <v>42</v>
      </c>
      <c r="E17" s="3"/>
      <c r="F17" s="15"/>
    </row>
    <row r="18" spans="1:10" x14ac:dyDescent="0.3">
      <c r="A18" s="1" t="s">
        <v>5</v>
      </c>
      <c r="B18" s="2">
        <f>I14</f>
        <v>1887000</v>
      </c>
      <c r="C18" s="6">
        <f>N14</f>
        <v>1800000</v>
      </c>
      <c r="D18" s="57">
        <f t="shared" ref="D18" si="0">B18-C18</f>
        <v>87000</v>
      </c>
      <c r="E18" s="1" t="s">
        <v>43</v>
      </c>
    </row>
    <row r="20" spans="1:10" ht="88.2" customHeight="1" x14ac:dyDescent="0.3">
      <c r="A20" s="1"/>
      <c r="B20" s="48" t="s">
        <v>38</v>
      </c>
      <c r="C20" s="48" t="str">
        <f>C17</f>
        <v>COUT PREVU DE LA PRODUCTION PREVUE  - 7200 unités</v>
      </c>
      <c r="D20" s="10" t="s">
        <v>45</v>
      </c>
      <c r="E20" s="10"/>
      <c r="F20" s="15"/>
    </row>
    <row r="21" spans="1:10" x14ac:dyDescent="0.3">
      <c r="A21" s="1" t="s">
        <v>5</v>
      </c>
      <c r="B21" s="2">
        <f>D14</f>
        <v>1750000</v>
      </c>
      <c r="C21" s="6">
        <f>C18</f>
        <v>1800000</v>
      </c>
      <c r="D21" s="57">
        <f t="shared" ref="D21" si="1">B21-C21</f>
        <v>-50000</v>
      </c>
      <c r="E21" s="1" t="s">
        <v>44</v>
      </c>
    </row>
    <row r="22" spans="1:10" s="58" customFormat="1" ht="15.6" x14ac:dyDescent="0.3">
      <c r="A22" s="177" t="s">
        <v>35</v>
      </c>
      <c r="B22" s="177"/>
      <c r="C22" s="177"/>
      <c r="D22" s="177"/>
      <c r="G22" s="177" t="s">
        <v>36</v>
      </c>
      <c r="H22" s="177"/>
      <c r="I22" s="177"/>
      <c r="J22" s="177"/>
    </row>
    <row r="23" spans="1:10" s="58" customFormat="1" ht="15.6" x14ac:dyDescent="0.3">
      <c r="A23" s="59"/>
      <c r="B23" s="59"/>
      <c r="C23" s="59"/>
      <c r="D23" s="59"/>
      <c r="G23" s="59"/>
      <c r="H23" s="59"/>
      <c r="I23" s="59"/>
      <c r="J23" s="59"/>
    </row>
    <row r="24" spans="1:10" s="58" customFormat="1" ht="57.6" x14ac:dyDescent="0.3">
      <c r="A24"/>
      <c r="B24" s="48" t="str">
        <f>B17</f>
        <v>COUT REEL DE LA PRODUCTION REELLE  - 7000 unités</v>
      </c>
      <c r="C24" s="48" t="str">
        <f>B20</f>
        <v>COUT PREVU ADAPTE A LA PRODUCTION REELLE - 7000 unités</v>
      </c>
      <c r="D24" s="10" t="s">
        <v>46</v>
      </c>
      <c r="G24" s="59"/>
      <c r="H24" s="59"/>
      <c r="I24" s="59"/>
      <c r="J24" s="59"/>
    </row>
    <row r="25" spans="1:10" s="58" customFormat="1" ht="15.6" x14ac:dyDescent="0.3">
      <c r="A25" s="1" t="s">
        <v>5</v>
      </c>
      <c r="B25" s="2">
        <f>B18</f>
        <v>1887000</v>
      </c>
      <c r="C25" s="6">
        <f>B21</f>
        <v>1750000</v>
      </c>
      <c r="D25" s="57">
        <f t="shared" ref="D25" si="2">B25-C25</f>
        <v>137000</v>
      </c>
      <c r="F25" s="60" t="s">
        <v>43</v>
      </c>
      <c r="G25" s="59"/>
      <c r="H25" s="59"/>
      <c r="I25" s="59"/>
      <c r="J25" s="59"/>
    </row>
    <row r="26" spans="1:10" s="58" customFormat="1" ht="15.6" x14ac:dyDescent="0.3">
      <c r="A26" s="59"/>
      <c r="B26" s="59"/>
      <c r="C26" s="59"/>
      <c r="D26" s="59"/>
      <c r="G26" s="59"/>
      <c r="H26" s="59"/>
      <c r="I26" s="59"/>
      <c r="J26" s="59"/>
    </row>
    <row r="27" spans="1:10" s="58" customFormat="1" ht="15.6" x14ac:dyDescent="0.3">
      <c r="A27" s="59"/>
      <c r="B27" s="59"/>
      <c r="C27" s="59"/>
      <c r="D27" s="59"/>
      <c r="G27" s="59"/>
      <c r="H27" s="59"/>
      <c r="I27" s="59"/>
      <c r="J27" s="59"/>
    </row>
    <row r="28" spans="1:10" s="58" customFormat="1" ht="15.6" x14ac:dyDescent="0.3">
      <c r="A28" s="177" t="s">
        <v>5</v>
      </c>
      <c r="B28" s="177"/>
      <c r="C28" s="177"/>
      <c r="D28" s="177"/>
      <c r="E28"/>
      <c r="F28"/>
      <c r="G28"/>
      <c r="H28" s="59"/>
      <c r="I28" s="59"/>
      <c r="J28" s="59"/>
    </row>
    <row r="29" spans="1:10" s="58" customFormat="1" ht="15.6" x14ac:dyDescent="0.3">
      <c r="A29"/>
      <c r="B29"/>
      <c r="C29"/>
      <c r="D29"/>
      <c r="E29"/>
      <c r="F29"/>
      <c r="G29"/>
      <c r="H29" s="59"/>
      <c r="I29" s="59"/>
      <c r="J29" s="59"/>
    </row>
    <row r="30" spans="1:10" s="58" customFormat="1" ht="15.6" x14ac:dyDescent="0.3">
      <c r="A30"/>
      <c r="B30"/>
      <c r="C30"/>
      <c r="D30"/>
      <c r="E30"/>
      <c r="F30"/>
      <c r="G30"/>
      <c r="H30" s="59"/>
      <c r="I30" s="59"/>
      <c r="J30" s="59"/>
    </row>
    <row r="31" spans="1:10" s="58" customFormat="1" ht="15.6" x14ac:dyDescent="0.3">
      <c r="A31" s="181" t="s">
        <v>5</v>
      </c>
      <c r="B31" s="181"/>
      <c r="C31" s="181"/>
      <c r="D31" s="181"/>
      <c r="E31"/>
      <c r="F31"/>
      <c r="G31"/>
      <c r="H31" s="59"/>
      <c r="I31" s="59"/>
      <c r="J31" s="59"/>
    </row>
    <row r="32" spans="1:10" s="58" customFormat="1" ht="15.6" x14ac:dyDescent="0.3">
      <c r="A32" s="173" t="s">
        <v>51</v>
      </c>
      <c r="B32" s="174"/>
      <c r="C32" s="175"/>
      <c r="D32" s="2">
        <f>(G14-B14)*C14</f>
        <v>100000</v>
      </c>
      <c r="E32" t="s">
        <v>52</v>
      </c>
      <c r="F32"/>
      <c r="G32"/>
      <c r="H32" s="59"/>
      <c r="I32" s="59"/>
      <c r="J32" s="59"/>
    </row>
    <row r="33" spans="1:10" s="58" customFormat="1" ht="15.6" x14ac:dyDescent="0.3">
      <c r="A33" s="173" t="s">
        <v>54</v>
      </c>
      <c r="B33" s="174"/>
      <c r="C33" s="175"/>
      <c r="D33" s="2">
        <f>(H14-C14)*G14</f>
        <v>37000</v>
      </c>
      <c r="E33" t="s">
        <v>52</v>
      </c>
      <c r="F33"/>
      <c r="G33"/>
      <c r="H33" s="59"/>
      <c r="I33" s="59"/>
      <c r="J33" s="59"/>
    </row>
    <row r="34" spans="1:10" s="58" customFormat="1" ht="15.6" x14ac:dyDescent="0.3">
      <c r="A34"/>
      <c r="B34"/>
      <c r="C34"/>
      <c r="D34"/>
      <c r="E34"/>
      <c r="F34"/>
      <c r="G34"/>
      <c r="H34" s="59"/>
      <c r="I34" s="59"/>
      <c r="J34" s="59"/>
    </row>
    <row r="35" spans="1:10" s="58" customFormat="1" ht="15.6" x14ac:dyDescent="0.3">
      <c r="A35"/>
      <c r="B35"/>
      <c r="C35"/>
      <c r="D35"/>
      <c r="E35"/>
      <c r="F35"/>
      <c r="G35"/>
      <c r="H35" s="59"/>
      <c r="I35" s="59"/>
      <c r="J35" s="59"/>
    </row>
    <row r="36" spans="1:10" s="58" customFormat="1" ht="15.6" x14ac:dyDescent="0.3">
      <c r="A36"/>
      <c r="B36"/>
      <c r="C36"/>
      <c r="D36"/>
      <c r="E36"/>
      <c r="F36"/>
      <c r="G36"/>
      <c r="H36" s="59"/>
      <c r="I36" s="59"/>
      <c r="J36" s="59"/>
    </row>
    <row r="37" spans="1:10" s="58" customFormat="1" ht="15.6" x14ac:dyDescent="0.3">
      <c r="A37" s="59"/>
      <c r="B37" s="59"/>
      <c r="C37" s="59"/>
      <c r="D37" s="59"/>
      <c r="G37" s="59"/>
      <c r="H37" s="59"/>
      <c r="I37" s="59"/>
      <c r="J37" s="59"/>
    </row>
    <row r="38" spans="1:10" s="58" customFormat="1" ht="15.6" x14ac:dyDescent="0.3">
      <c r="A38" s="59"/>
      <c r="B38" s="59"/>
      <c r="C38" s="59"/>
      <c r="D38" s="59"/>
      <c r="G38" s="59"/>
      <c r="H38" s="59"/>
      <c r="I38" s="59"/>
      <c r="J38" s="59"/>
    </row>
    <row r="39" spans="1:10" s="58" customFormat="1" ht="15.6" x14ac:dyDescent="0.3">
      <c r="A39" s="59"/>
      <c r="B39" s="59"/>
      <c r="C39" s="59"/>
      <c r="D39" s="59"/>
      <c r="G39" s="59"/>
      <c r="H39" s="59"/>
      <c r="I39" s="59"/>
      <c r="J39" s="59"/>
    </row>
    <row r="40" spans="1:10" s="58" customFormat="1" ht="15.6" x14ac:dyDescent="0.3">
      <c r="A40" s="59"/>
      <c r="B40" s="59"/>
      <c r="C40" s="59"/>
      <c r="D40" s="59"/>
      <c r="G40" s="59"/>
      <c r="H40" s="59"/>
      <c r="I40" s="59"/>
      <c r="J40" s="59"/>
    </row>
    <row r="42" spans="1:10" ht="15.6" x14ac:dyDescent="0.3">
      <c r="A42" s="181" t="str">
        <f>A22</f>
        <v>Mat A</v>
      </c>
      <c r="B42" s="181"/>
      <c r="C42" s="181"/>
      <c r="D42" s="181"/>
      <c r="G42" s="176" t="str">
        <f>G22</f>
        <v>Mat B</v>
      </c>
      <c r="H42" s="176"/>
      <c r="I42" s="176"/>
      <c r="J42" s="176"/>
    </row>
    <row r="43" spans="1:10" x14ac:dyDescent="0.3">
      <c r="A43" s="173" t="s">
        <v>47</v>
      </c>
      <c r="B43" s="174"/>
      <c r="C43" s="175"/>
      <c r="D43" s="2">
        <f>61000*42</f>
        <v>2562000</v>
      </c>
      <c r="G43" s="173" t="s">
        <v>47</v>
      </c>
      <c r="H43" s="174"/>
      <c r="I43" s="175"/>
      <c r="J43" s="2">
        <f>14*12000</f>
        <v>168000</v>
      </c>
    </row>
    <row r="44" spans="1:10" x14ac:dyDescent="0.3">
      <c r="A44" s="173" t="s">
        <v>48</v>
      </c>
      <c r="B44" s="174"/>
      <c r="C44" s="175"/>
      <c r="D44" s="2">
        <f>I5*C5</f>
        <v>2240000</v>
      </c>
      <c r="G44" s="173" t="s">
        <v>48</v>
      </c>
      <c r="H44" s="174"/>
      <c r="I44" s="175"/>
      <c r="J44" s="2">
        <f>I6*C5</f>
        <v>210000</v>
      </c>
    </row>
    <row r="45" spans="1:10" x14ac:dyDescent="0.3">
      <c r="A45" s="178" t="s">
        <v>49</v>
      </c>
      <c r="B45" s="179"/>
      <c r="C45" s="180"/>
      <c r="D45" s="4">
        <f>D43-D44</f>
        <v>322000</v>
      </c>
      <c r="G45" s="178" t="s">
        <v>50</v>
      </c>
      <c r="H45" s="179"/>
      <c r="I45" s="180"/>
      <c r="J45" s="4">
        <f>J43-J44</f>
        <v>-42000</v>
      </c>
    </row>
    <row r="48" spans="1:10" ht="15.6" x14ac:dyDescent="0.3">
      <c r="A48" s="181" t="str">
        <f>A42</f>
        <v>Mat A</v>
      </c>
      <c r="B48" s="181"/>
      <c r="C48" s="181"/>
      <c r="D48" s="181"/>
      <c r="G48" s="176" t="str">
        <f>G22</f>
        <v>Mat B</v>
      </c>
      <c r="H48" s="176"/>
      <c r="I48" s="176"/>
      <c r="J48" s="176"/>
    </row>
    <row r="49" spans="1:11" x14ac:dyDescent="0.3">
      <c r="A49" s="173" t="s">
        <v>51</v>
      </c>
      <c r="B49" s="174"/>
      <c r="C49" s="175"/>
      <c r="D49" s="2">
        <f>(61000-56000)*40</f>
        <v>200000</v>
      </c>
      <c r="E49" t="s">
        <v>52</v>
      </c>
      <c r="G49" s="173" t="s">
        <v>51</v>
      </c>
      <c r="H49" s="174"/>
      <c r="I49" s="175"/>
      <c r="J49" s="2">
        <f>(12000-14000)*15</f>
        <v>-30000</v>
      </c>
      <c r="K49" t="s">
        <v>53</v>
      </c>
    </row>
    <row r="50" spans="1:11" x14ac:dyDescent="0.3">
      <c r="A50" s="173" t="s">
        <v>54</v>
      </c>
      <c r="B50" s="174"/>
      <c r="C50" s="175"/>
      <c r="D50" s="2">
        <f>(42-40)*66000</f>
        <v>132000</v>
      </c>
      <c r="E50" t="s">
        <v>52</v>
      </c>
      <c r="G50" s="173" t="s">
        <v>54</v>
      </c>
      <c r="H50" s="174"/>
      <c r="I50" s="175"/>
      <c r="J50" s="2">
        <f>(14-15)*12000</f>
        <v>-12000</v>
      </c>
      <c r="K50" t="s">
        <v>53</v>
      </c>
    </row>
    <row r="54" spans="1:11" ht="15.6" x14ac:dyDescent="0.3">
      <c r="A54" s="177" t="s">
        <v>5</v>
      </c>
      <c r="B54" s="177"/>
      <c r="C54" s="177"/>
      <c r="D54" s="177"/>
    </row>
  </sheetData>
  <mergeCells count="26">
    <mergeCell ref="A1:J1"/>
    <mergeCell ref="F8:H8"/>
    <mergeCell ref="A12:D12"/>
    <mergeCell ref="F12:I12"/>
    <mergeCell ref="A54:D54"/>
    <mergeCell ref="A45:C45"/>
    <mergeCell ref="A48:D48"/>
    <mergeCell ref="A49:C49"/>
    <mergeCell ref="A42:D42"/>
    <mergeCell ref="A43:C43"/>
    <mergeCell ref="A44:C44"/>
    <mergeCell ref="G44:I44"/>
    <mergeCell ref="G43:I43"/>
    <mergeCell ref="G42:J42"/>
    <mergeCell ref="A50:C50"/>
    <mergeCell ref="K12:N12"/>
    <mergeCell ref="A33:C33"/>
    <mergeCell ref="G50:I50"/>
    <mergeCell ref="G49:I49"/>
    <mergeCell ref="A28:D28"/>
    <mergeCell ref="A31:D31"/>
    <mergeCell ref="A32:C32"/>
    <mergeCell ref="G48:J48"/>
    <mergeCell ref="G45:I45"/>
    <mergeCell ref="A22:D22"/>
    <mergeCell ref="G22:J22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77D8-D99F-4EFE-8935-8B3230C32A32}">
  <dimension ref="A1:H57"/>
  <sheetViews>
    <sheetView showGridLines="0" workbookViewId="0">
      <selection activeCell="D37" sqref="D37"/>
    </sheetView>
  </sheetViews>
  <sheetFormatPr baseColWidth="10" defaultRowHeight="14.4" x14ac:dyDescent="0.3"/>
  <cols>
    <col min="1" max="1" width="19.6640625" customWidth="1"/>
    <col min="2" max="2" width="21.6640625" customWidth="1"/>
    <col min="3" max="3" width="16.44140625" bestFit="1" customWidth="1"/>
    <col min="5" max="5" width="14.88671875" customWidth="1"/>
    <col min="6" max="6" width="15.109375" bestFit="1" customWidth="1"/>
    <col min="7" max="7" width="13.109375" customWidth="1"/>
    <col min="8" max="8" width="14.44140625" bestFit="1" customWidth="1"/>
  </cols>
  <sheetData>
    <row r="1" spans="1:8" x14ac:dyDescent="0.3">
      <c r="A1" s="182" t="s">
        <v>55</v>
      </c>
      <c r="B1" s="182"/>
      <c r="C1" s="182"/>
      <c r="D1" s="182"/>
      <c r="E1" s="182"/>
      <c r="F1" s="182"/>
      <c r="G1" s="182"/>
    </row>
    <row r="5" spans="1:8" x14ac:dyDescent="0.3">
      <c r="A5" t="s">
        <v>56</v>
      </c>
      <c r="C5">
        <v>10000</v>
      </c>
    </row>
    <row r="6" spans="1:8" x14ac:dyDescent="0.3">
      <c r="A6" t="s">
        <v>57</v>
      </c>
      <c r="C6">
        <v>12000</v>
      </c>
    </row>
    <row r="8" spans="1:8" x14ac:dyDescent="0.3">
      <c r="A8" s="173" t="s">
        <v>58</v>
      </c>
      <c r="B8" s="175"/>
      <c r="C8" s="1">
        <v>12</v>
      </c>
    </row>
    <row r="9" spans="1:8" x14ac:dyDescent="0.3">
      <c r="A9" s="173" t="s">
        <v>59</v>
      </c>
      <c r="B9" s="175"/>
      <c r="C9" s="17">
        <v>60</v>
      </c>
    </row>
    <row r="10" spans="1:8" x14ac:dyDescent="0.3">
      <c r="A10" s="173" t="s">
        <v>60</v>
      </c>
      <c r="B10" s="175"/>
      <c r="C10" s="17">
        <v>51.5</v>
      </c>
      <c r="F10" s="183" t="s">
        <v>61</v>
      </c>
      <c r="G10" s="183"/>
      <c r="H10" s="183"/>
    </row>
    <row r="11" spans="1:8" x14ac:dyDescent="0.3">
      <c r="A11" s="173" t="s">
        <v>62</v>
      </c>
      <c r="B11" s="175"/>
      <c r="C11" s="61">
        <v>1020000</v>
      </c>
      <c r="D11" s="62"/>
      <c r="F11" s="63" t="s">
        <v>63</v>
      </c>
      <c r="G11" s="1">
        <v>120000</v>
      </c>
      <c r="H11" s="64">
        <v>145000</v>
      </c>
    </row>
    <row r="12" spans="1:8" x14ac:dyDescent="0.3">
      <c r="F12" s="63" t="s">
        <v>13</v>
      </c>
      <c r="G12" s="65">
        <f>G14-G13</f>
        <v>1020000</v>
      </c>
      <c r="H12" s="66">
        <f>G12</f>
        <v>1020000</v>
      </c>
    </row>
    <row r="13" spans="1:8" x14ac:dyDescent="0.3">
      <c r="A13" t="s">
        <v>64</v>
      </c>
      <c r="C13">
        <v>145000</v>
      </c>
      <c r="F13" s="63" t="s">
        <v>65</v>
      </c>
      <c r="G13" s="61">
        <f>51.5*G11</f>
        <v>6180000</v>
      </c>
      <c r="H13" s="67">
        <f>51.5*H11</f>
        <v>7467500</v>
      </c>
    </row>
    <row r="14" spans="1:8" x14ac:dyDescent="0.3">
      <c r="A14" s="15" t="s">
        <v>66</v>
      </c>
      <c r="B14" s="15"/>
      <c r="C14" s="68">
        <v>10500000</v>
      </c>
      <c r="F14" s="63" t="s">
        <v>67</v>
      </c>
      <c r="G14" s="61">
        <f>G11*G15</f>
        <v>7200000</v>
      </c>
      <c r="H14" s="69">
        <f>SUM(H12:H13)</f>
        <v>8487500</v>
      </c>
    </row>
    <row r="15" spans="1:8" x14ac:dyDescent="0.3">
      <c r="F15" s="70" t="s">
        <v>68</v>
      </c>
      <c r="G15" s="61">
        <v>60</v>
      </c>
    </row>
    <row r="17" spans="1:8" x14ac:dyDescent="0.3">
      <c r="A17" t="s">
        <v>69</v>
      </c>
      <c r="C17">
        <f>12*12000</f>
        <v>144000</v>
      </c>
    </row>
    <row r="18" spans="1:8" x14ac:dyDescent="0.3">
      <c r="A18" t="s">
        <v>70</v>
      </c>
      <c r="C18" s="71">
        <f>C17*60</f>
        <v>8640000</v>
      </c>
    </row>
    <row r="19" spans="1:8" x14ac:dyDescent="0.3">
      <c r="H19" s="62"/>
    </row>
    <row r="20" spans="1:8" x14ac:dyDescent="0.3">
      <c r="A20" s="72" t="s">
        <v>42</v>
      </c>
      <c r="B20" s="73">
        <f>C14-(C5*C9*C8)</f>
        <v>3300000</v>
      </c>
      <c r="C20" s="72" t="s">
        <v>52</v>
      </c>
      <c r="D20" s="9" t="s">
        <v>71</v>
      </c>
      <c r="H20" s="74">
        <f>10500000</f>
        <v>10500000</v>
      </c>
    </row>
    <row r="21" spans="1:8" x14ac:dyDescent="0.3">
      <c r="A21" s="1" t="s">
        <v>72</v>
      </c>
      <c r="B21" s="65">
        <f>(C6*C8-(C5*C8))*C9</f>
        <v>1440000</v>
      </c>
      <c r="C21" s="1" t="s">
        <v>52</v>
      </c>
      <c r="D21" s="9" t="s">
        <v>73</v>
      </c>
      <c r="H21" s="74">
        <f>H12</f>
        <v>1020000</v>
      </c>
    </row>
    <row r="22" spans="1:8" x14ac:dyDescent="0.3">
      <c r="A22" s="7" t="s">
        <v>46</v>
      </c>
      <c r="B22" s="75">
        <f>C14-(144000*60)</f>
        <v>1860000</v>
      </c>
      <c r="C22" s="7" t="s">
        <v>52</v>
      </c>
      <c r="D22" s="76" t="s">
        <v>74</v>
      </c>
      <c r="E22" s="77"/>
      <c r="H22" s="74">
        <f>H20-H21</f>
        <v>9480000</v>
      </c>
    </row>
    <row r="23" spans="1:8" x14ac:dyDescent="0.3">
      <c r="A23" s="58"/>
      <c r="B23" s="58"/>
      <c r="C23" s="58"/>
      <c r="D23" s="58"/>
      <c r="E23" s="58"/>
      <c r="F23" s="58"/>
      <c r="G23" s="58"/>
      <c r="H23" s="58">
        <v>145000</v>
      </c>
    </row>
    <row r="24" spans="1:8" x14ac:dyDescent="0.3">
      <c r="A24" s="30" t="s">
        <v>75</v>
      </c>
      <c r="B24" s="78">
        <f>(C14-H14)</f>
        <v>2012500</v>
      </c>
      <c r="C24" s="30" t="s">
        <v>52</v>
      </c>
      <c r="D24" s="79" t="s">
        <v>76</v>
      </c>
      <c r="E24" s="58"/>
      <c r="F24" s="58"/>
      <c r="G24" s="58"/>
      <c r="H24" s="74">
        <f>H22/H23</f>
        <v>65.379310344827587</v>
      </c>
    </row>
    <row r="25" spans="1:8" x14ac:dyDescent="0.3">
      <c r="A25" s="30" t="s">
        <v>77</v>
      </c>
      <c r="B25" s="80">
        <f>(H14-(H11*C9))</f>
        <v>-212500</v>
      </c>
      <c r="C25" s="30" t="s">
        <v>53</v>
      </c>
      <c r="D25" s="79" t="s">
        <v>78</v>
      </c>
      <c r="E25" s="58"/>
      <c r="F25" s="81" t="s">
        <v>79</v>
      </c>
      <c r="G25" s="82"/>
      <c r="H25" s="58"/>
    </row>
    <row r="26" spans="1:8" x14ac:dyDescent="0.3">
      <c r="A26" s="30" t="s">
        <v>80</v>
      </c>
      <c r="B26" s="78">
        <f>(C13-12000*12)*C9</f>
        <v>60000</v>
      </c>
      <c r="C26" s="30" t="s">
        <v>52</v>
      </c>
      <c r="D26" s="79" t="s">
        <v>81</v>
      </c>
      <c r="E26" s="58"/>
      <c r="F26" s="58"/>
      <c r="G26" s="58"/>
      <c r="H26" s="58"/>
    </row>
    <row r="27" spans="1:8" x14ac:dyDescent="0.3">
      <c r="A27" s="58" t="s">
        <v>82</v>
      </c>
      <c r="B27" s="74">
        <f>SUM(B24:B26)</f>
        <v>1860000</v>
      </c>
      <c r="C27" s="58"/>
      <c r="D27" s="58"/>
      <c r="E27" s="58"/>
      <c r="F27" s="58"/>
      <c r="G27" s="58"/>
      <c r="H27" s="58"/>
    </row>
    <row r="28" spans="1:8" x14ac:dyDescent="0.3">
      <c r="A28" s="58"/>
      <c r="B28" s="58"/>
      <c r="C28" s="58"/>
      <c r="D28" s="58"/>
      <c r="E28" s="58"/>
      <c r="F28" s="58"/>
      <c r="G28" s="58"/>
      <c r="H28" s="58"/>
    </row>
    <row r="57" spans="1:1" x14ac:dyDescent="0.3">
      <c r="A57" t="s">
        <v>83</v>
      </c>
    </row>
  </sheetData>
  <mergeCells count="6">
    <mergeCell ref="A11:B11"/>
    <mergeCell ref="A1:G1"/>
    <mergeCell ref="A8:B8"/>
    <mergeCell ref="A9:B9"/>
    <mergeCell ref="A10:B10"/>
    <mergeCell ref="F10:H10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442A8-DF23-42BF-B4F1-C93BE620E558}">
  <dimension ref="A1:I66"/>
  <sheetViews>
    <sheetView showGridLines="0" workbookViewId="0">
      <selection activeCell="H18" sqref="H18"/>
    </sheetView>
  </sheetViews>
  <sheetFormatPr baseColWidth="10" defaultRowHeight="14.4" x14ac:dyDescent="0.3"/>
  <cols>
    <col min="1" max="1" width="25.6640625" bestFit="1" customWidth="1"/>
    <col min="2" max="2" width="12.6640625" bestFit="1" customWidth="1"/>
    <col min="3" max="3" width="11.6640625" bestFit="1" customWidth="1"/>
    <col min="4" max="4" width="14.109375" bestFit="1" customWidth="1"/>
    <col min="5" max="5" width="13.88671875" customWidth="1"/>
    <col min="6" max="6" width="15.6640625" customWidth="1"/>
    <col min="7" max="7" width="19.6640625" customWidth="1"/>
    <col min="8" max="8" width="11.88671875" bestFit="1" customWidth="1"/>
  </cols>
  <sheetData>
    <row r="1" spans="1:7" x14ac:dyDescent="0.3">
      <c r="A1" s="182" t="s">
        <v>84</v>
      </c>
      <c r="B1" s="182"/>
      <c r="C1" s="182"/>
      <c r="D1" s="182"/>
      <c r="E1" s="182"/>
      <c r="F1" s="182"/>
      <c r="G1" s="182"/>
    </row>
    <row r="2" spans="1:7" x14ac:dyDescent="0.3">
      <c r="A2" s="1"/>
      <c r="B2" s="14" t="s">
        <v>2</v>
      </c>
      <c r="C2" s="14" t="s">
        <v>1</v>
      </c>
      <c r="D2" s="14" t="s">
        <v>0</v>
      </c>
    </row>
    <row r="3" spans="1:7" x14ac:dyDescent="0.3">
      <c r="A3" s="1" t="s">
        <v>86</v>
      </c>
      <c r="B3" s="14" t="s">
        <v>87</v>
      </c>
      <c r="C3" s="6">
        <v>20</v>
      </c>
      <c r="D3" s="6">
        <v>5</v>
      </c>
    </row>
    <row r="4" spans="1:7" x14ac:dyDescent="0.3">
      <c r="A4" s="1" t="s">
        <v>88</v>
      </c>
      <c r="B4" s="14">
        <v>1</v>
      </c>
      <c r="C4" s="6">
        <v>0.25</v>
      </c>
      <c r="D4" s="6">
        <v>0.25</v>
      </c>
    </row>
    <row r="5" spans="1:7" x14ac:dyDescent="0.3">
      <c r="A5" s="1" t="s">
        <v>89</v>
      </c>
      <c r="B5" s="14">
        <v>1</v>
      </c>
      <c r="C5" s="6">
        <v>0.05</v>
      </c>
      <c r="D5" s="6">
        <v>0.05</v>
      </c>
    </row>
    <row r="6" spans="1:7" x14ac:dyDescent="0.3">
      <c r="A6" s="1" t="s">
        <v>5</v>
      </c>
      <c r="B6" s="14" t="s">
        <v>90</v>
      </c>
      <c r="C6" s="6">
        <v>24</v>
      </c>
      <c r="D6" s="6">
        <v>4</v>
      </c>
    </row>
    <row r="7" spans="1:7" x14ac:dyDescent="0.3">
      <c r="A7" s="1" t="s">
        <v>91</v>
      </c>
      <c r="B7" s="14" t="s">
        <v>92</v>
      </c>
      <c r="C7" s="6">
        <v>7</v>
      </c>
      <c r="D7" s="6">
        <f>C7*0.25</f>
        <v>1.75</v>
      </c>
    </row>
    <row r="8" spans="1:7" x14ac:dyDescent="0.3">
      <c r="A8" s="1" t="s">
        <v>93</v>
      </c>
      <c r="B8" s="14" t="s">
        <v>94</v>
      </c>
      <c r="C8" s="6">
        <f>C18</f>
        <v>0.8</v>
      </c>
      <c r="D8" s="6">
        <f>C8</f>
        <v>0.8</v>
      </c>
    </row>
    <row r="9" spans="1:7" x14ac:dyDescent="0.3">
      <c r="A9" s="1" t="s">
        <v>95</v>
      </c>
      <c r="B9" s="14" t="s">
        <v>94</v>
      </c>
      <c r="C9" s="6">
        <f>D18</f>
        <v>1</v>
      </c>
      <c r="D9" s="6">
        <f>C9</f>
        <v>1</v>
      </c>
    </row>
    <row r="10" spans="1:7" x14ac:dyDescent="0.3">
      <c r="A10" s="168" t="s">
        <v>96</v>
      </c>
      <c r="B10" s="168"/>
      <c r="C10" s="168"/>
      <c r="D10" s="4">
        <f>SUM(D3:D9)</f>
        <v>12.850000000000001</v>
      </c>
    </row>
    <row r="13" spans="1:7" x14ac:dyDescent="0.3">
      <c r="A13" s="1"/>
      <c r="B13" s="3" t="s">
        <v>97</v>
      </c>
      <c r="C13" s="3" t="s">
        <v>98</v>
      </c>
      <c r="D13" s="3" t="s">
        <v>99</v>
      </c>
    </row>
    <row r="14" spans="1:7" x14ac:dyDescent="0.3">
      <c r="A14" s="1" t="s">
        <v>65</v>
      </c>
      <c r="B14" s="61">
        <v>10875</v>
      </c>
      <c r="C14" s="61">
        <v>1300</v>
      </c>
      <c r="D14" s="61">
        <v>4800</v>
      </c>
    </row>
    <row r="15" spans="1:7" x14ac:dyDescent="0.3">
      <c r="A15" s="1" t="s">
        <v>13</v>
      </c>
      <c r="B15" s="61">
        <v>4000</v>
      </c>
      <c r="C15" s="61">
        <v>5500</v>
      </c>
      <c r="D15" s="61">
        <v>3700</v>
      </c>
    </row>
    <row r="16" spans="1:7" x14ac:dyDescent="0.3">
      <c r="A16" s="1" t="s">
        <v>63</v>
      </c>
      <c r="B16" s="1" t="s">
        <v>100</v>
      </c>
      <c r="C16" s="1" t="s">
        <v>101</v>
      </c>
      <c r="D16" s="1" t="s">
        <v>102</v>
      </c>
    </row>
    <row r="17" spans="1:9" x14ac:dyDescent="0.3">
      <c r="A17" s="1" t="s">
        <v>103</v>
      </c>
      <c r="B17" s="1">
        <v>2125</v>
      </c>
      <c r="C17" s="1">
        <v>8500</v>
      </c>
      <c r="D17" s="1">
        <v>8500</v>
      </c>
    </row>
    <row r="18" spans="1:9" x14ac:dyDescent="0.3">
      <c r="A18" s="3" t="s">
        <v>68</v>
      </c>
      <c r="B18" s="5">
        <f>(B14+B15)/B17</f>
        <v>7</v>
      </c>
      <c r="C18" s="5">
        <f t="shared" ref="C18:D18" si="0">(C14+C15)/C17</f>
        <v>0.8</v>
      </c>
      <c r="D18" s="5">
        <f t="shared" si="0"/>
        <v>1</v>
      </c>
    </row>
    <row r="20" spans="1:9" x14ac:dyDescent="0.3">
      <c r="A20" s="83" t="s">
        <v>104</v>
      </c>
    </row>
    <row r="21" spans="1:9" ht="21" x14ac:dyDescent="0.4">
      <c r="A21" s="84" t="s">
        <v>105</v>
      </c>
      <c r="B21" s="84">
        <v>7820</v>
      </c>
    </row>
    <row r="22" spans="1:9" x14ac:dyDescent="0.3">
      <c r="B22" s="172" t="s">
        <v>106</v>
      </c>
      <c r="C22" s="172"/>
      <c r="D22" s="172"/>
      <c r="E22" s="172" t="s">
        <v>107</v>
      </c>
      <c r="F22" s="172"/>
      <c r="G22" s="172"/>
      <c r="H22" s="184" t="s">
        <v>46</v>
      </c>
    </row>
    <row r="23" spans="1:9" x14ac:dyDescent="0.3">
      <c r="A23" s="1"/>
      <c r="B23" s="14" t="s">
        <v>2</v>
      </c>
      <c r="C23" s="14" t="s">
        <v>1</v>
      </c>
      <c r="D23" s="14" t="s">
        <v>0</v>
      </c>
      <c r="E23" s="14" t="s">
        <v>2</v>
      </c>
      <c r="F23" s="14" t="s">
        <v>1</v>
      </c>
      <c r="G23" s="14" t="s">
        <v>0</v>
      </c>
      <c r="H23" s="184"/>
    </row>
    <row r="24" spans="1:9" x14ac:dyDescent="0.3">
      <c r="A24" s="1" t="s">
        <v>108</v>
      </c>
      <c r="B24" s="1">
        <f>1960</f>
        <v>1960</v>
      </c>
      <c r="C24" s="6">
        <f>D24/B24</f>
        <v>18</v>
      </c>
      <c r="D24" s="85">
        <v>35280</v>
      </c>
      <c r="E24" s="1">
        <f>7820*250/1000</f>
        <v>1955</v>
      </c>
      <c r="F24" s="6">
        <v>20</v>
      </c>
      <c r="G24" s="86">
        <f>E24*F24</f>
        <v>39100</v>
      </c>
      <c r="H24" s="2">
        <f t="shared" ref="H24:H30" si="1">D24-G24</f>
        <v>-3820</v>
      </c>
      <c r="I24" t="s">
        <v>109</v>
      </c>
    </row>
    <row r="25" spans="1:9" x14ac:dyDescent="0.3">
      <c r="A25" s="1" t="str">
        <f t="shared" ref="A25:A30" si="2">A4</f>
        <v>Pot de verre</v>
      </c>
      <c r="B25" s="1">
        <v>7850</v>
      </c>
      <c r="C25" s="6">
        <f t="shared" ref="C25:C30" si="3">D25/B25</f>
        <v>0.27006369426751592</v>
      </c>
      <c r="D25" s="6">
        <v>2120</v>
      </c>
      <c r="E25" s="1">
        <f>7820</f>
        <v>7820</v>
      </c>
      <c r="F25" s="6">
        <v>0.25</v>
      </c>
      <c r="G25" s="2">
        <f t="shared" ref="G25:G30" si="4">E25*F25</f>
        <v>1955</v>
      </c>
      <c r="H25" s="2">
        <f t="shared" si="1"/>
        <v>165</v>
      </c>
      <c r="I25" t="s">
        <v>110</v>
      </c>
    </row>
    <row r="26" spans="1:9" x14ac:dyDescent="0.3">
      <c r="A26" s="1" t="str">
        <f t="shared" si="2"/>
        <v>Etiquette</v>
      </c>
      <c r="B26" s="1">
        <v>7900</v>
      </c>
      <c r="C26" s="6">
        <f t="shared" si="3"/>
        <v>4.0506329113924051E-2</v>
      </c>
      <c r="D26" s="6">
        <v>320</v>
      </c>
      <c r="E26" s="1">
        <f>7820</f>
        <v>7820</v>
      </c>
      <c r="F26" s="6">
        <v>0.05</v>
      </c>
      <c r="G26" s="2">
        <f t="shared" si="4"/>
        <v>391</v>
      </c>
      <c r="H26" s="2">
        <f t="shared" si="1"/>
        <v>-71</v>
      </c>
      <c r="I26" t="s">
        <v>109</v>
      </c>
    </row>
    <row r="27" spans="1:9" x14ac:dyDescent="0.3">
      <c r="A27" s="1" t="str">
        <f t="shared" si="2"/>
        <v>MOD</v>
      </c>
      <c r="B27" s="1">
        <v>1330</v>
      </c>
      <c r="C27" s="6">
        <f t="shared" si="3"/>
        <v>25</v>
      </c>
      <c r="D27" s="6">
        <v>33250</v>
      </c>
      <c r="E27" s="1">
        <f>7820*10/60</f>
        <v>1303.3333333333333</v>
      </c>
      <c r="F27" s="6">
        <v>24</v>
      </c>
      <c r="G27" s="2">
        <f t="shared" si="4"/>
        <v>31280</v>
      </c>
      <c r="H27" s="2">
        <f t="shared" si="1"/>
        <v>1970</v>
      </c>
      <c r="I27" t="s">
        <v>110</v>
      </c>
    </row>
    <row r="28" spans="1:9" x14ac:dyDescent="0.3">
      <c r="A28" s="11" t="str">
        <f t="shared" si="2"/>
        <v>Atelier préparation</v>
      </c>
      <c r="B28" s="11">
        <v>1960</v>
      </c>
      <c r="C28" s="50">
        <f t="shared" si="3"/>
        <v>6.8</v>
      </c>
      <c r="D28" s="50">
        <v>13328</v>
      </c>
      <c r="E28" s="1">
        <f>7820*0.25</f>
        <v>1955</v>
      </c>
      <c r="F28" s="6">
        <v>7</v>
      </c>
      <c r="G28" s="12">
        <f t="shared" si="4"/>
        <v>13685</v>
      </c>
      <c r="H28" s="23">
        <f t="shared" si="1"/>
        <v>-357</v>
      </c>
      <c r="I28" t="s">
        <v>109</v>
      </c>
    </row>
    <row r="29" spans="1:9" x14ac:dyDescent="0.3">
      <c r="A29" s="1" t="str">
        <f t="shared" si="2"/>
        <v>Atelier stérilisation</v>
      </c>
      <c r="B29" s="1">
        <v>7820</v>
      </c>
      <c r="C29" s="87">
        <f t="shared" si="3"/>
        <v>0.80434782608695654</v>
      </c>
      <c r="D29" s="6">
        <v>6290</v>
      </c>
      <c r="E29" s="1">
        <v>7820</v>
      </c>
      <c r="F29" s="6">
        <f>C8</f>
        <v>0.8</v>
      </c>
      <c r="G29" s="2">
        <f t="shared" si="4"/>
        <v>6256</v>
      </c>
      <c r="H29" s="2">
        <f t="shared" si="1"/>
        <v>34</v>
      </c>
      <c r="I29" t="s">
        <v>110</v>
      </c>
    </row>
    <row r="30" spans="1:9" x14ac:dyDescent="0.3">
      <c r="A30" s="1" t="str">
        <f t="shared" si="2"/>
        <v>Atelier Etiquetage</v>
      </c>
      <c r="B30" s="1">
        <v>7820</v>
      </c>
      <c r="C30" s="6">
        <f t="shared" si="3"/>
        <v>1.0505115089514065</v>
      </c>
      <c r="D30" s="6">
        <v>8215</v>
      </c>
      <c r="E30" s="1">
        <v>7820</v>
      </c>
      <c r="F30" s="6">
        <f>C9</f>
        <v>1</v>
      </c>
      <c r="G30" s="2">
        <f t="shared" si="4"/>
        <v>7820</v>
      </c>
      <c r="H30" s="2">
        <f t="shared" si="1"/>
        <v>395</v>
      </c>
      <c r="I30" t="s">
        <v>110</v>
      </c>
    </row>
    <row r="31" spans="1:9" x14ac:dyDescent="0.3">
      <c r="A31" s="173" t="s">
        <v>46</v>
      </c>
      <c r="B31" s="174"/>
      <c r="C31" s="174"/>
      <c r="D31" s="174"/>
      <c r="E31" s="174"/>
      <c r="F31" s="174"/>
      <c r="G31" s="175"/>
      <c r="H31" s="2">
        <f>SUM(H24:H30)</f>
        <v>-1684</v>
      </c>
      <c r="I31" t="s">
        <v>109</v>
      </c>
    </row>
    <row r="32" spans="1:9" x14ac:dyDescent="0.3">
      <c r="A32" s="51"/>
      <c r="B32" s="51"/>
      <c r="C32" s="51"/>
      <c r="D32" s="51"/>
      <c r="E32" s="51"/>
      <c r="F32" s="51"/>
      <c r="G32" s="51"/>
      <c r="H32" s="13"/>
    </row>
    <row r="34" spans="1:6" x14ac:dyDescent="0.3">
      <c r="A34" s="83" t="s">
        <v>111</v>
      </c>
    </row>
    <row r="38" spans="1:6" ht="20.399999999999999" customHeight="1" x14ac:dyDescent="0.3"/>
    <row r="39" spans="1:6" x14ac:dyDescent="0.3">
      <c r="B39" s="185" t="s">
        <v>112</v>
      </c>
      <c r="C39" s="185"/>
      <c r="D39" s="186" t="s">
        <v>5</v>
      </c>
      <c r="E39" s="186"/>
    </row>
    <row r="40" spans="1:6" x14ac:dyDescent="0.3">
      <c r="A40" s="1" t="s">
        <v>113</v>
      </c>
      <c r="B40" s="17">
        <f>D24-(8500*0.25*20)</f>
        <v>-7220</v>
      </c>
      <c r="C40" s="1" t="s">
        <v>109</v>
      </c>
      <c r="D40" s="17">
        <f>33250-(8500*4)</f>
        <v>-750</v>
      </c>
      <c r="E40" s="1" t="s">
        <v>109</v>
      </c>
      <c r="F40" s="9" t="s">
        <v>114</v>
      </c>
    </row>
    <row r="41" spans="1:6" x14ac:dyDescent="0.3">
      <c r="A41" s="1" t="s">
        <v>115</v>
      </c>
      <c r="B41" s="17">
        <f>(0.25*(7820-8500))*20</f>
        <v>-3400</v>
      </c>
      <c r="C41" s="1" t="s">
        <v>109</v>
      </c>
      <c r="D41" s="17">
        <f>(7820-8500)*4</f>
        <v>-2720</v>
      </c>
      <c r="E41" s="1" t="s">
        <v>109</v>
      </c>
      <c r="F41" s="9" t="s">
        <v>116</v>
      </c>
    </row>
    <row r="42" spans="1:6" x14ac:dyDescent="0.3">
      <c r="A42" s="1" t="s">
        <v>117</v>
      </c>
      <c r="B42" s="6">
        <f>H24</f>
        <v>-3820</v>
      </c>
      <c r="C42" s="1" t="s">
        <v>109</v>
      </c>
      <c r="D42" s="17">
        <f>+H27</f>
        <v>1970</v>
      </c>
      <c r="E42" s="1" t="s">
        <v>110</v>
      </c>
      <c r="F42" s="13"/>
    </row>
    <row r="43" spans="1:6" ht="8.4" customHeight="1" x14ac:dyDescent="0.3">
      <c r="A43" s="1"/>
      <c r="B43" s="1"/>
      <c r="C43" s="1"/>
      <c r="D43" s="1"/>
      <c r="E43" s="1"/>
    </row>
    <row r="44" spans="1:6" x14ac:dyDescent="0.3">
      <c r="A44" s="1" t="s">
        <v>118</v>
      </c>
      <c r="B44" s="2">
        <f>(B24-E24)*F24</f>
        <v>100</v>
      </c>
      <c r="C44" s="1" t="s">
        <v>110</v>
      </c>
      <c r="D44" s="17">
        <f>-(E27-B27)*24</f>
        <v>640.00000000000182</v>
      </c>
      <c r="E44" s="1" t="s">
        <v>110</v>
      </c>
    </row>
    <row r="45" spans="1:6" x14ac:dyDescent="0.3">
      <c r="A45" s="1" t="s">
        <v>119</v>
      </c>
      <c r="B45" s="6">
        <f>(C24-F24)*B24</f>
        <v>-3920</v>
      </c>
      <c r="C45" s="1" t="s">
        <v>109</v>
      </c>
      <c r="D45" s="2">
        <f>-(24-25)*B27</f>
        <v>1330</v>
      </c>
      <c r="E45" s="1" t="s">
        <v>110</v>
      </c>
    </row>
    <row r="50" spans="1:9" x14ac:dyDescent="0.3">
      <c r="A50" s="83" t="s">
        <v>20</v>
      </c>
    </row>
    <row r="53" spans="1:9" x14ac:dyDescent="0.3">
      <c r="B53" s="171" t="s">
        <v>120</v>
      </c>
      <c r="C53" s="171"/>
      <c r="D53" s="171"/>
      <c r="E53" s="171" t="s">
        <v>121</v>
      </c>
      <c r="F53" s="171"/>
      <c r="G53" s="171"/>
    </row>
    <row r="54" spans="1:9" x14ac:dyDescent="0.3">
      <c r="A54" s="11" t="str">
        <f>A28</f>
        <v>Atelier préparation</v>
      </c>
      <c r="B54" s="88">
        <f t="shared" ref="B54:H54" si="5">B28</f>
        <v>1960</v>
      </c>
      <c r="C54" s="50">
        <f t="shared" si="5"/>
        <v>6.8</v>
      </c>
      <c r="D54" s="50">
        <f t="shared" si="5"/>
        <v>13328</v>
      </c>
      <c r="E54" s="88">
        <f t="shared" si="5"/>
        <v>1955</v>
      </c>
      <c r="F54" s="50">
        <f t="shared" si="5"/>
        <v>7</v>
      </c>
      <c r="G54" s="50">
        <f t="shared" si="5"/>
        <v>13685</v>
      </c>
      <c r="H54" s="89">
        <f t="shared" si="5"/>
        <v>-357</v>
      </c>
      <c r="I54" t="s">
        <v>109</v>
      </c>
    </row>
    <row r="56" spans="1:9" ht="6.6" customHeight="1" x14ac:dyDescent="0.3"/>
    <row r="57" spans="1:9" x14ac:dyDescent="0.3">
      <c r="A57" s="1" t="s">
        <v>122</v>
      </c>
      <c r="B57" s="14" t="s">
        <v>123</v>
      </c>
    </row>
    <row r="58" spans="1:9" x14ac:dyDescent="0.3">
      <c r="A58" s="3" t="s">
        <v>13</v>
      </c>
      <c r="B58" s="5">
        <f>B15</f>
        <v>4000</v>
      </c>
    </row>
    <row r="59" spans="1:9" x14ac:dyDescent="0.3">
      <c r="A59" s="1" t="s">
        <v>65</v>
      </c>
      <c r="B59" s="17">
        <f>1960/2125*10875</f>
        <v>10030.588235294117</v>
      </c>
    </row>
    <row r="60" spans="1:9" x14ac:dyDescent="0.3">
      <c r="A60" s="11" t="s">
        <v>41</v>
      </c>
      <c r="B60" s="12">
        <f>B58+B59</f>
        <v>14030.588235294117</v>
      </c>
    </row>
    <row r="61" spans="1:9" ht="6" customHeight="1" x14ac:dyDescent="0.3"/>
    <row r="62" spans="1:9" x14ac:dyDescent="0.3">
      <c r="A62" s="88" t="s">
        <v>124</v>
      </c>
      <c r="B62" s="86">
        <f>D28-B60</f>
        <v>-702.58823529411711</v>
      </c>
      <c r="C62" s="1" t="s">
        <v>109</v>
      </c>
    </row>
    <row r="63" spans="1:9" x14ac:dyDescent="0.3">
      <c r="A63" s="88" t="s">
        <v>125</v>
      </c>
      <c r="B63" s="85">
        <f>(2125-1960)*(4000/2125)</f>
        <v>310.58823529411762</v>
      </c>
      <c r="C63" s="1" t="s">
        <v>110</v>
      </c>
    </row>
    <row r="64" spans="1:9" x14ac:dyDescent="0.3">
      <c r="A64" s="1" t="s">
        <v>126</v>
      </c>
      <c r="B64" s="2">
        <f>(B28-E28)*F28</f>
        <v>35</v>
      </c>
      <c r="C64" s="1" t="s">
        <v>110</v>
      </c>
    </row>
    <row r="65" spans="2:7" x14ac:dyDescent="0.3">
      <c r="B65" s="90">
        <f>SUM(B62:B64)</f>
        <v>-356.99999999999949</v>
      </c>
      <c r="C65" t="s">
        <v>109</v>
      </c>
    </row>
    <row r="66" spans="2:7" x14ac:dyDescent="0.3">
      <c r="G66" s="9" t="s">
        <v>127</v>
      </c>
    </row>
  </sheetData>
  <mergeCells count="10">
    <mergeCell ref="A31:G31"/>
    <mergeCell ref="B39:C39"/>
    <mergeCell ref="D39:E39"/>
    <mergeCell ref="B53:D53"/>
    <mergeCell ref="E53:G53"/>
    <mergeCell ref="A1:G1"/>
    <mergeCell ref="A10:C10"/>
    <mergeCell ref="B22:D22"/>
    <mergeCell ref="E22:G22"/>
    <mergeCell ref="H22:H23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0794A-7174-467F-9917-A20F6340B917}">
  <dimension ref="A1:H34"/>
  <sheetViews>
    <sheetView showGridLines="0" workbookViewId="0">
      <selection activeCell="K26" sqref="K26"/>
    </sheetView>
  </sheetViews>
  <sheetFormatPr baseColWidth="10" defaultRowHeight="14.4" x14ac:dyDescent="0.3"/>
  <cols>
    <col min="1" max="1" width="26.6640625" customWidth="1"/>
    <col min="2" max="2" width="15.33203125" customWidth="1"/>
    <col min="3" max="3" width="13.5546875" customWidth="1"/>
    <col min="4" max="4" width="21.5546875" customWidth="1"/>
    <col min="5" max="5" width="14.88671875" customWidth="1"/>
    <col min="6" max="6" width="14.6640625" customWidth="1"/>
    <col min="7" max="7" width="13.88671875" bestFit="1" customWidth="1"/>
    <col min="8" max="8" width="12.6640625" bestFit="1" customWidth="1"/>
    <col min="9" max="9" width="2.44140625" customWidth="1"/>
  </cols>
  <sheetData>
    <row r="1" spans="1:8" x14ac:dyDescent="0.3">
      <c r="A1" s="182" t="s">
        <v>85</v>
      </c>
      <c r="B1" s="182"/>
      <c r="C1" s="182"/>
      <c r="D1" s="182"/>
      <c r="E1" s="182"/>
      <c r="F1" s="182"/>
      <c r="G1" s="182"/>
    </row>
    <row r="4" spans="1:8" x14ac:dyDescent="0.3">
      <c r="A4" s="91" t="s">
        <v>129</v>
      </c>
    </row>
    <row r="6" spans="1:8" x14ac:dyDescent="0.3">
      <c r="A6" s="1"/>
      <c r="B6" s="168" t="s">
        <v>130</v>
      </c>
      <c r="C6" s="168"/>
      <c r="D6" s="168"/>
      <c r="E6" s="168" t="s">
        <v>131</v>
      </c>
      <c r="F6" s="168"/>
      <c r="G6" s="168"/>
      <c r="H6" s="187" t="s">
        <v>132</v>
      </c>
    </row>
    <row r="7" spans="1:8" x14ac:dyDescent="0.3">
      <c r="A7" s="1"/>
      <c r="B7" s="14" t="s">
        <v>31</v>
      </c>
      <c r="C7" s="14" t="s">
        <v>133</v>
      </c>
      <c r="D7" s="14" t="s">
        <v>134</v>
      </c>
      <c r="E7" s="14" t="s">
        <v>31</v>
      </c>
      <c r="F7" s="14" t="s">
        <v>133</v>
      </c>
      <c r="G7" s="14" t="s">
        <v>134</v>
      </c>
      <c r="H7" s="187"/>
    </row>
    <row r="8" spans="1:8" x14ac:dyDescent="0.3">
      <c r="A8" s="1" t="s">
        <v>135</v>
      </c>
      <c r="B8" s="92">
        <v>10000</v>
      </c>
      <c r="C8" s="31">
        <v>60</v>
      </c>
      <c r="D8" s="31">
        <f>B8*C8</f>
        <v>600000</v>
      </c>
      <c r="E8" s="30">
        <v>9500</v>
      </c>
      <c r="F8" s="31">
        <f>+G8/E8</f>
        <v>59.05263157894737</v>
      </c>
      <c r="G8" s="31">
        <v>561000</v>
      </c>
      <c r="H8" s="8">
        <f>G8-D8</f>
        <v>-39000</v>
      </c>
    </row>
    <row r="9" spans="1:8" x14ac:dyDescent="0.3">
      <c r="A9" s="1" t="s">
        <v>136</v>
      </c>
      <c r="B9" s="92">
        <v>5000</v>
      </c>
      <c r="C9" s="31">
        <v>55</v>
      </c>
      <c r="D9" s="31">
        <f>B9*C9</f>
        <v>275000</v>
      </c>
      <c r="E9" s="30">
        <v>5400</v>
      </c>
      <c r="F9" s="31">
        <f>+G9/E9</f>
        <v>54.722222222222221</v>
      </c>
      <c r="G9" s="31">
        <v>295500</v>
      </c>
      <c r="H9" s="8">
        <f>G9-D9</f>
        <v>20500</v>
      </c>
    </row>
    <row r="10" spans="1:8" x14ac:dyDescent="0.3">
      <c r="A10" s="1" t="s">
        <v>41</v>
      </c>
      <c r="B10" s="188">
        <f>SUM(D8:D9)</f>
        <v>875000</v>
      </c>
      <c r="C10" s="189"/>
      <c r="D10" s="190"/>
      <c r="E10" s="188">
        <f>SUM(G8:G9)</f>
        <v>856500</v>
      </c>
      <c r="F10" s="189"/>
      <c r="G10" s="190"/>
      <c r="H10" s="8">
        <f>E10-B10</f>
        <v>-18500</v>
      </c>
    </row>
    <row r="11" spans="1:8" x14ac:dyDescent="0.3">
      <c r="D11" s="93">
        <v>15000</v>
      </c>
    </row>
    <row r="12" spans="1:8" x14ac:dyDescent="0.3">
      <c r="D12" s="13">
        <f>+B10/D11</f>
        <v>58.333333333333336</v>
      </c>
    </row>
    <row r="13" spans="1:8" x14ac:dyDescent="0.3">
      <c r="D13" s="13"/>
    </row>
    <row r="14" spans="1:8" x14ac:dyDescent="0.3">
      <c r="D14" s="13"/>
    </row>
    <row r="15" spans="1:8" x14ac:dyDescent="0.3">
      <c r="A15" s="15" t="s">
        <v>137</v>
      </c>
    </row>
    <row r="16" spans="1:8" x14ac:dyDescent="0.3">
      <c r="A16" s="7" t="s">
        <v>138</v>
      </c>
      <c r="B16" s="23">
        <f>E10-B10</f>
        <v>-18500</v>
      </c>
      <c r="C16" t="s">
        <v>52</v>
      </c>
    </row>
    <row r="17" spans="1:8" x14ac:dyDescent="0.3">
      <c r="A17" s="15"/>
      <c r="B17" s="90"/>
    </row>
    <row r="18" spans="1:8" ht="14.25" customHeight="1" x14ac:dyDescent="0.3">
      <c r="A18" s="15" t="s">
        <v>111</v>
      </c>
      <c r="G18" s="10" t="s">
        <v>41</v>
      </c>
    </row>
    <row r="19" spans="1:8" x14ac:dyDescent="0.3">
      <c r="A19" s="94" t="s">
        <v>139</v>
      </c>
      <c r="B19" s="95">
        <f>G8-D8</f>
        <v>-39000</v>
      </c>
      <c r="C19" s="94" t="s">
        <v>43</v>
      </c>
      <c r="D19" s="72" t="s">
        <v>140</v>
      </c>
      <c r="E19" s="96">
        <f>G9-D9</f>
        <v>20500</v>
      </c>
      <c r="F19" s="97" t="s">
        <v>44</v>
      </c>
      <c r="G19" s="55">
        <f t="shared" ref="G19" si="0">B19+E19</f>
        <v>-18500</v>
      </c>
    </row>
    <row r="20" spans="1:8" ht="9.75" customHeight="1" x14ac:dyDescent="0.3">
      <c r="A20" s="3"/>
      <c r="B20" s="4"/>
      <c r="C20" s="3"/>
      <c r="D20" s="3"/>
      <c r="E20" s="4"/>
      <c r="F20" s="98"/>
      <c r="G20" s="55"/>
    </row>
    <row r="21" spans="1:8" ht="18.75" customHeight="1" x14ac:dyDescent="0.3">
      <c r="A21" s="3" t="s">
        <v>20</v>
      </c>
      <c r="B21" s="4"/>
      <c r="C21" s="3"/>
      <c r="D21" s="3"/>
      <c r="E21" s="4"/>
      <c r="F21" s="98"/>
      <c r="G21" s="55"/>
    </row>
    <row r="22" spans="1:8" x14ac:dyDescent="0.3">
      <c r="A22" s="94" t="s">
        <v>141</v>
      </c>
      <c r="B22" s="99">
        <f>(F8-C8)*E8</f>
        <v>-8999.9999999999854</v>
      </c>
      <c r="C22" s="94" t="s">
        <v>43</v>
      </c>
      <c r="D22" s="72" t="s">
        <v>141</v>
      </c>
      <c r="E22" s="100">
        <f>(F9-C9)*E9</f>
        <v>-1500.0000000000043</v>
      </c>
      <c r="F22" s="97" t="s">
        <v>43</v>
      </c>
      <c r="G22" s="55">
        <f>B22+E22</f>
        <v>-10499.999999999989</v>
      </c>
      <c r="H22" s="13"/>
    </row>
    <row r="23" spans="1:8" x14ac:dyDescent="0.3">
      <c r="A23" s="94" t="s">
        <v>51</v>
      </c>
      <c r="B23" s="95">
        <f>(E8-B8)*C8</f>
        <v>-30000</v>
      </c>
      <c r="C23" s="94" t="s">
        <v>43</v>
      </c>
      <c r="D23" s="72" t="s">
        <v>51</v>
      </c>
      <c r="E23" s="100">
        <f>(E9-B9)*C9</f>
        <v>22000</v>
      </c>
      <c r="F23" s="97" t="s">
        <v>44</v>
      </c>
      <c r="G23" s="101">
        <f>B23+E23</f>
        <v>-8000</v>
      </c>
      <c r="H23" s="13"/>
    </row>
    <row r="25" spans="1:8" x14ac:dyDescent="0.3">
      <c r="A25" s="15" t="s">
        <v>142</v>
      </c>
    </row>
    <row r="26" spans="1:8" x14ac:dyDescent="0.3">
      <c r="A26" s="182" t="s">
        <v>143</v>
      </c>
      <c r="B26" s="182"/>
      <c r="C26" s="182"/>
      <c r="D26" s="182"/>
      <c r="E26" s="182"/>
      <c r="F26" s="182"/>
      <c r="G26" s="182"/>
    </row>
    <row r="28" spans="1:8" x14ac:dyDescent="0.3">
      <c r="A28" s="182" t="s">
        <v>144</v>
      </c>
      <c r="B28" s="182"/>
      <c r="C28" s="182"/>
      <c r="D28" s="182"/>
      <c r="E28" s="182"/>
      <c r="F28" s="182"/>
      <c r="G28" s="182"/>
    </row>
    <row r="29" spans="1:8" x14ac:dyDescent="0.3">
      <c r="A29" s="3" t="s">
        <v>145</v>
      </c>
      <c r="B29" s="3">
        <v>14900</v>
      </c>
    </row>
    <row r="30" spans="1:8" s="32" customFormat="1" ht="43.2" x14ac:dyDescent="0.3">
      <c r="A30" s="102"/>
      <c r="B30" s="48" t="s">
        <v>146</v>
      </c>
      <c r="C30" s="48" t="s">
        <v>147</v>
      </c>
      <c r="D30" s="48" t="s">
        <v>148</v>
      </c>
      <c r="E30" s="48" t="s">
        <v>149</v>
      </c>
      <c r="F30" s="48" t="s">
        <v>150</v>
      </c>
      <c r="G30" s="48" t="s">
        <v>149</v>
      </c>
    </row>
    <row r="31" spans="1:8" x14ac:dyDescent="0.3">
      <c r="A31" s="1" t="s">
        <v>151</v>
      </c>
      <c r="B31" s="1">
        <f>9500</f>
        <v>9500</v>
      </c>
      <c r="C31" s="103">
        <f>10000/15000</f>
        <v>0.66666666666666663</v>
      </c>
      <c r="D31" s="104">
        <f>+C31*B29</f>
        <v>9933.3333333333321</v>
      </c>
      <c r="E31" s="105">
        <f>B31-D31</f>
        <v>-433.33333333333212</v>
      </c>
      <c r="F31" s="2">
        <f>C8</f>
        <v>60</v>
      </c>
      <c r="G31" s="2">
        <f>(B31-D31)*F31</f>
        <v>-25999.999999999927</v>
      </c>
      <c r="H31" t="s">
        <v>110</v>
      </c>
    </row>
    <row r="32" spans="1:8" x14ac:dyDescent="0.3">
      <c r="A32" s="1" t="s">
        <v>152</v>
      </c>
      <c r="B32" s="1">
        <f>5400</f>
        <v>5400</v>
      </c>
      <c r="C32" s="103">
        <f>5000/15000</f>
        <v>0.33333333333333331</v>
      </c>
      <c r="D32" s="104">
        <f>+C32*B29</f>
        <v>4966.6666666666661</v>
      </c>
      <c r="E32" s="105">
        <f>B32-D32</f>
        <v>433.33333333333394</v>
      </c>
      <c r="F32" s="2">
        <f>C9</f>
        <v>55</v>
      </c>
      <c r="G32" s="2">
        <f>(B32-D32)*F32</f>
        <v>23833.333333333365</v>
      </c>
      <c r="H32" t="s">
        <v>109</v>
      </c>
    </row>
    <row r="33" spans="1:8" x14ac:dyDescent="0.3">
      <c r="A33" s="106" t="s">
        <v>41</v>
      </c>
      <c r="B33" s="1">
        <f>B31+B32</f>
        <v>14900</v>
      </c>
      <c r="C33" s="107">
        <f>C31+C32</f>
        <v>1</v>
      </c>
      <c r="D33" s="104">
        <f>D31+D32</f>
        <v>14899.999999999998</v>
      </c>
      <c r="E33" s="105">
        <f>B33-D33</f>
        <v>0</v>
      </c>
      <c r="F33" s="108"/>
      <c r="G33" s="2"/>
    </row>
    <row r="34" spans="1:8" x14ac:dyDescent="0.3">
      <c r="A34" s="178" t="s">
        <v>41</v>
      </c>
      <c r="B34" s="179"/>
      <c r="C34" s="179"/>
      <c r="D34" s="179"/>
      <c r="E34" s="179"/>
      <c r="F34" s="180"/>
      <c r="G34" s="12">
        <f>G31+G32</f>
        <v>-2166.6666666665624</v>
      </c>
      <c r="H34" t="s">
        <v>110</v>
      </c>
    </row>
  </sheetData>
  <mergeCells count="9">
    <mergeCell ref="A1:G1"/>
    <mergeCell ref="A28:G28"/>
    <mergeCell ref="A34:F34"/>
    <mergeCell ref="B6:D6"/>
    <mergeCell ref="E6:G6"/>
    <mergeCell ref="H6:H7"/>
    <mergeCell ref="B10:D10"/>
    <mergeCell ref="E10:G10"/>
    <mergeCell ref="A26:G2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B2231-6F13-4A79-9FEA-15AE9EFFBFC8}">
  <dimension ref="A1:I68"/>
  <sheetViews>
    <sheetView showGridLines="0" workbookViewId="0">
      <selection activeCell="G30" sqref="G30"/>
    </sheetView>
  </sheetViews>
  <sheetFormatPr baseColWidth="10" defaultRowHeight="14.4" x14ac:dyDescent="0.3"/>
  <cols>
    <col min="1" max="1" width="13.33203125" bestFit="1" customWidth="1"/>
    <col min="3" max="3" width="16.5546875" customWidth="1"/>
    <col min="4" max="4" width="20.44140625" bestFit="1" customWidth="1"/>
    <col min="5" max="5" width="13" customWidth="1"/>
    <col min="8" max="8" width="14.88671875" bestFit="1" customWidth="1"/>
  </cols>
  <sheetData>
    <row r="1" spans="1:9" x14ac:dyDescent="0.3">
      <c r="A1" s="182" t="s">
        <v>128</v>
      </c>
      <c r="B1" s="182"/>
      <c r="C1" s="182"/>
      <c r="D1" s="182"/>
      <c r="E1" s="182"/>
      <c r="F1" s="182"/>
      <c r="G1" s="182"/>
      <c r="H1" s="182"/>
    </row>
    <row r="2" spans="1:9" x14ac:dyDescent="0.3">
      <c r="A2" t="s">
        <v>155</v>
      </c>
      <c r="I2" s="111"/>
    </row>
    <row r="3" spans="1:9" ht="15" thickBot="1" x14ac:dyDescent="0.35">
      <c r="G3" s="112"/>
    </row>
    <row r="4" spans="1:9" ht="15" thickBot="1" x14ac:dyDescent="0.35">
      <c r="A4" s="113"/>
      <c r="B4" s="192" t="s">
        <v>156</v>
      </c>
      <c r="C4" s="193"/>
      <c r="D4" s="192" t="s">
        <v>157</v>
      </c>
      <c r="E4" s="193"/>
    </row>
    <row r="5" spans="1:9" ht="15" thickBot="1" x14ac:dyDescent="0.35">
      <c r="A5" s="114"/>
      <c r="B5" s="115" t="s">
        <v>158</v>
      </c>
      <c r="C5" s="115" t="s">
        <v>159</v>
      </c>
      <c r="D5" s="115" t="s">
        <v>158</v>
      </c>
      <c r="E5" s="115" t="s">
        <v>159</v>
      </c>
    </row>
    <row r="6" spans="1:9" ht="15" thickBot="1" x14ac:dyDescent="0.35">
      <c r="A6" s="114" t="s">
        <v>160</v>
      </c>
      <c r="B6" s="116">
        <v>100</v>
      </c>
      <c r="C6" s="115">
        <v>3040</v>
      </c>
      <c r="D6" s="116">
        <v>95</v>
      </c>
      <c r="E6" s="115">
        <v>3708</v>
      </c>
    </row>
    <row r="7" spans="1:9" ht="29.4" thickBot="1" x14ac:dyDescent="0.35">
      <c r="A7" s="114" t="s">
        <v>161</v>
      </c>
      <c r="B7" s="116">
        <v>125</v>
      </c>
      <c r="C7" s="115">
        <v>3610</v>
      </c>
      <c r="D7" s="116">
        <v>125</v>
      </c>
      <c r="E7" s="115">
        <v>3670</v>
      </c>
    </row>
    <row r="8" spans="1:9" x14ac:dyDescent="0.3">
      <c r="A8" s="117" t="s">
        <v>162</v>
      </c>
      <c r="B8" s="118">
        <v>150</v>
      </c>
      <c r="C8" s="119">
        <v>2850</v>
      </c>
      <c r="D8" s="118">
        <v>148</v>
      </c>
      <c r="E8" s="119">
        <v>2910</v>
      </c>
    </row>
    <row r="9" spans="1:9" x14ac:dyDescent="0.3">
      <c r="A9" s="120" t="s">
        <v>163</v>
      </c>
      <c r="B9" s="1"/>
      <c r="C9" s="1">
        <f>SUM(C6:C8)</f>
        <v>9500</v>
      </c>
      <c r="D9" s="1"/>
      <c r="E9" s="1">
        <f t="shared" ref="E9" si="0">SUM(E6:E8)</f>
        <v>10288</v>
      </c>
      <c r="G9" t="s">
        <v>134</v>
      </c>
      <c r="H9" s="71">
        <f>1314166+5555</f>
        <v>1319721</v>
      </c>
    </row>
    <row r="10" spans="1:9" x14ac:dyDescent="0.3">
      <c r="G10" t="s">
        <v>164</v>
      </c>
      <c r="H10" s="71">
        <f>H9*0.1</f>
        <v>131972.1</v>
      </c>
    </row>
    <row r="11" spans="1:9" x14ac:dyDescent="0.3">
      <c r="A11" s="121" t="s">
        <v>153</v>
      </c>
      <c r="G11" t="s">
        <v>165</v>
      </c>
      <c r="H11" s="71">
        <v>5000</v>
      </c>
    </row>
    <row r="12" spans="1:9" x14ac:dyDescent="0.3">
      <c r="A12" s="122" t="s">
        <v>166</v>
      </c>
      <c r="B12" s="123">
        <f>B6*C6+B7*C7+B8*C8</f>
        <v>1182750</v>
      </c>
      <c r="C12" s="124">
        <f>B12/C9</f>
        <v>124.5</v>
      </c>
      <c r="E12" s="125"/>
      <c r="H12" s="71">
        <f>H9-H10-H11</f>
        <v>1182748.8999999999</v>
      </c>
    </row>
    <row r="13" spans="1:9" x14ac:dyDescent="0.3">
      <c r="A13" s="122" t="s">
        <v>167</v>
      </c>
      <c r="B13" s="123">
        <f>D6*E6+D7*E7+D8*E8</f>
        <v>1241690</v>
      </c>
      <c r="C13" s="126">
        <f>B13/E9</f>
        <v>120.69304043545878</v>
      </c>
      <c r="E13" s="127"/>
    </row>
    <row r="14" spans="1:9" x14ac:dyDescent="0.3">
      <c r="B14" s="128">
        <f>B12-B13</f>
        <v>-58940</v>
      </c>
      <c r="C14" t="s">
        <v>52</v>
      </c>
    </row>
    <row r="15" spans="1:9" x14ac:dyDescent="0.3">
      <c r="B15" s="128"/>
    </row>
    <row r="16" spans="1:9" x14ac:dyDescent="0.3">
      <c r="A16" s="15" t="s">
        <v>168</v>
      </c>
    </row>
    <row r="17" spans="1:7" x14ac:dyDescent="0.3">
      <c r="A17" s="122" t="s">
        <v>169</v>
      </c>
      <c r="B17" s="129">
        <f>C9/(360*40)</f>
        <v>0.65972222222222221</v>
      </c>
      <c r="C17" s="130" t="s">
        <v>170</v>
      </c>
    </row>
    <row r="18" spans="1:7" x14ac:dyDescent="0.3">
      <c r="A18" s="122" t="s">
        <v>171</v>
      </c>
      <c r="B18" s="129">
        <f>E9/(360*40)</f>
        <v>0.71444444444444444</v>
      </c>
      <c r="C18" s="130" t="s">
        <v>172</v>
      </c>
    </row>
    <row r="20" spans="1:7" x14ac:dyDescent="0.3">
      <c r="A20" s="15" t="s">
        <v>111</v>
      </c>
    </row>
    <row r="22" spans="1:7" ht="13.2" customHeight="1" x14ac:dyDescent="0.3">
      <c r="A22" s="194" t="s">
        <v>173</v>
      </c>
      <c r="B22" s="194"/>
      <c r="C22" s="194"/>
    </row>
    <row r="23" spans="1:7" ht="13.2" customHeight="1" x14ac:dyDescent="0.3">
      <c r="A23" s="1" t="s">
        <v>174</v>
      </c>
      <c r="B23" s="131">
        <f>(C6-E6)*D6</f>
        <v>-63460</v>
      </c>
      <c r="C23" s="132" t="s">
        <v>175</v>
      </c>
    </row>
    <row r="24" spans="1:7" x14ac:dyDescent="0.3">
      <c r="A24" s="1" t="s">
        <v>176</v>
      </c>
      <c r="B24" s="131">
        <f>(C7-E7)*D7</f>
        <v>-7500</v>
      </c>
      <c r="C24" s="25" t="s">
        <v>177</v>
      </c>
      <c r="G24" s="133"/>
    </row>
    <row r="25" spans="1:7" x14ac:dyDescent="0.3">
      <c r="A25" s="1" t="s">
        <v>178</v>
      </c>
      <c r="B25" s="131">
        <f>(C8-E8)*D8</f>
        <v>-8880</v>
      </c>
      <c r="C25" s="25" t="s">
        <v>179</v>
      </c>
      <c r="G25" s="133"/>
    </row>
    <row r="26" spans="1:7" x14ac:dyDescent="0.3">
      <c r="A26" s="1" t="s">
        <v>41</v>
      </c>
      <c r="B26" s="134">
        <f>SUM(B23:B25)</f>
        <v>-79840</v>
      </c>
      <c r="C26" s="135" t="s">
        <v>180</v>
      </c>
    </row>
    <row r="28" spans="1:7" x14ac:dyDescent="0.3">
      <c r="A28" s="15" t="s">
        <v>20</v>
      </c>
    </row>
    <row r="30" spans="1:7" x14ac:dyDescent="0.3">
      <c r="A30" s="60" t="s">
        <v>181</v>
      </c>
      <c r="B30" s="136">
        <f>(C9-E9)*C13</f>
        <v>-95106.115863141516</v>
      </c>
      <c r="C30" s="195" t="s">
        <v>182</v>
      </c>
      <c r="D30" s="195"/>
      <c r="E30" s="58"/>
      <c r="F30" s="58"/>
      <c r="G30" s="58"/>
    </row>
    <row r="31" spans="1:7" x14ac:dyDescent="0.3">
      <c r="A31" s="58" t="s">
        <v>147</v>
      </c>
      <c r="B31" s="137">
        <f>G38</f>
        <v>15266.115863141476</v>
      </c>
      <c r="C31" s="138">
        <v>2</v>
      </c>
      <c r="D31" s="58"/>
      <c r="E31" s="58"/>
      <c r="F31" s="58"/>
      <c r="G31" s="58"/>
    </row>
    <row r="32" spans="1:7" x14ac:dyDescent="0.3">
      <c r="A32" s="58"/>
      <c r="B32" s="137"/>
      <c r="C32" s="138"/>
      <c r="D32" s="58"/>
      <c r="E32" s="58"/>
      <c r="F32" s="58"/>
      <c r="G32" s="58"/>
    </row>
    <row r="33" spans="1:8" x14ac:dyDescent="0.3">
      <c r="A33" s="60" t="s">
        <v>147</v>
      </c>
      <c r="B33" s="139">
        <f>G38</f>
        <v>15266.115863141476</v>
      </c>
      <c r="C33" s="58"/>
      <c r="D33" s="58"/>
      <c r="E33" s="58"/>
      <c r="F33" s="58"/>
      <c r="G33" s="58"/>
    </row>
    <row r="34" spans="1:8" x14ac:dyDescent="0.3">
      <c r="A34" s="30"/>
      <c r="B34" s="140" t="s">
        <v>183</v>
      </c>
      <c r="C34" s="30" t="s">
        <v>184</v>
      </c>
      <c r="D34" s="140" t="s">
        <v>185</v>
      </c>
      <c r="E34" s="30" t="s">
        <v>149</v>
      </c>
      <c r="F34" s="30" t="s">
        <v>186</v>
      </c>
      <c r="G34" s="30"/>
    </row>
    <row r="35" spans="1:8" x14ac:dyDescent="0.3">
      <c r="A35" s="141" t="s">
        <v>160</v>
      </c>
      <c r="B35" s="142">
        <f>E6/$E$9</f>
        <v>0.36041990668740281</v>
      </c>
      <c r="C35" s="110">
        <f>B35*$C$9</f>
        <v>3423.9891135303269</v>
      </c>
      <c r="D35" s="140">
        <f>C6</f>
        <v>3040</v>
      </c>
      <c r="E35" s="110">
        <f>D35-C35</f>
        <v>-383.9891135303269</v>
      </c>
      <c r="F35" s="143">
        <f>+D6</f>
        <v>95</v>
      </c>
      <c r="G35" s="144">
        <f>F35*E35</f>
        <v>-36478.965785381057</v>
      </c>
      <c r="H35" s="129">
        <f>+D35/$D$38</f>
        <v>0.32</v>
      </c>
    </row>
    <row r="36" spans="1:8" ht="28.8" x14ac:dyDescent="0.3">
      <c r="A36" s="141" t="s">
        <v>161</v>
      </c>
      <c r="B36" s="142">
        <f>E7/$E$9</f>
        <v>0.35672628304821152</v>
      </c>
      <c r="C36" s="110">
        <f t="shared" ref="C36:C37" si="1">B36*$C$9</f>
        <v>3388.8996889580094</v>
      </c>
      <c r="D36" s="140">
        <f>C7</f>
        <v>3610</v>
      </c>
      <c r="E36" s="110">
        <f t="shared" ref="E36:E37" si="2">D36-C36</f>
        <v>221.10031104199061</v>
      </c>
      <c r="F36" s="143">
        <f>+D7</f>
        <v>125</v>
      </c>
      <c r="G36" s="144">
        <f t="shared" ref="G36:G37" si="3">F36*E36</f>
        <v>27637.538880248827</v>
      </c>
      <c r="H36" s="129">
        <f t="shared" ref="H36:H37" si="4">+D36/$D$38</f>
        <v>0.38</v>
      </c>
    </row>
    <row r="37" spans="1:8" x14ac:dyDescent="0.3">
      <c r="A37" s="141" t="s">
        <v>162</v>
      </c>
      <c r="B37" s="142">
        <f>E8/$E$9</f>
        <v>0.28285381026438572</v>
      </c>
      <c r="C37" s="110">
        <f t="shared" si="1"/>
        <v>2687.1111975116642</v>
      </c>
      <c r="D37" s="140">
        <f>C8</f>
        <v>2850</v>
      </c>
      <c r="E37" s="110">
        <f t="shared" si="2"/>
        <v>162.88880248833584</v>
      </c>
      <c r="F37" s="143">
        <f>+D8</f>
        <v>148</v>
      </c>
      <c r="G37" s="144">
        <f t="shared" si="3"/>
        <v>24107.542768273706</v>
      </c>
      <c r="H37" s="129">
        <f t="shared" si="4"/>
        <v>0.3</v>
      </c>
    </row>
    <row r="38" spans="1:8" x14ac:dyDescent="0.3">
      <c r="A38" s="30" t="s">
        <v>41</v>
      </c>
      <c r="B38" s="145">
        <f t="shared" ref="B38:E38" si="5">SUM(B35:B37)</f>
        <v>1</v>
      </c>
      <c r="C38" s="110">
        <f t="shared" si="5"/>
        <v>9500</v>
      </c>
      <c r="D38" s="146">
        <f t="shared" si="5"/>
        <v>9500</v>
      </c>
      <c r="E38" s="110">
        <f t="shared" si="5"/>
        <v>-4.5474735088646412E-13</v>
      </c>
      <c r="F38" s="143"/>
      <c r="G38" s="147">
        <f>SUM(G35:G37)</f>
        <v>15266.115863141476</v>
      </c>
      <c r="H38" t="s">
        <v>187</v>
      </c>
    </row>
    <row r="40" spans="1:8" x14ac:dyDescent="0.3">
      <c r="A40" s="148" t="s">
        <v>142</v>
      </c>
    </row>
    <row r="41" spans="1:8" x14ac:dyDescent="0.3">
      <c r="A41" s="191" t="s">
        <v>188</v>
      </c>
      <c r="B41" s="191"/>
      <c r="C41" s="191"/>
      <c r="D41" s="191"/>
      <c r="F41" s="172" t="s">
        <v>189</v>
      </c>
      <c r="G41" s="172"/>
    </row>
    <row r="42" spans="1:8" x14ac:dyDescent="0.3">
      <c r="A42" s="1" t="s">
        <v>174</v>
      </c>
      <c r="B42" s="131">
        <f>(B6-D6)*C6</f>
        <v>15200</v>
      </c>
      <c r="C42" s="1" t="s">
        <v>109</v>
      </c>
      <c r="D42" s="25" t="s">
        <v>190</v>
      </c>
      <c r="F42" s="135">
        <v>-79840</v>
      </c>
      <c r="G42" s="1" t="s">
        <v>191</v>
      </c>
    </row>
    <row r="43" spans="1:8" x14ac:dyDescent="0.3">
      <c r="A43" s="1" t="s">
        <v>176</v>
      </c>
      <c r="B43" s="131">
        <f>(B7-D7)*C7</f>
        <v>0</v>
      </c>
      <c r="C43" s="1" t="s">
        <v>110</v>
      </c>
      <c r="D43" s="1" t="s">
        <v>192</v>
      </c>
      <c r="F43" s="149">
        <v>20900</v>
      </c>
      <c r="G43" s="1" t="s">
        <v>193</v>
      </c>
    </row>
    <row r="44" spans="1:8" x14ac:dyDescent="0.3">
      <c r="A44" s="1" t="s">
        <v>178</v>
      </c>
      <c r="B44" s="131">
        <f>(B8-D8)*C8</f>
        <v>5700</v>
      </c>
      <c r="C44" s="1" t="s">
        <v>109</v>
      </c>
      <c r="D44" s="1" t="s">
        <v>194</v>
      </c>
      <c r="F44" s="14">
        <f>F42+F43</f>
        <v>-58940</v>
      </c>
      <c r="G44" s="1" t="s">
        <v>195</v>
      </c>
    </row>
    <row r="45" spans="1:8" x14ac:dyDescent="0.3">
      <c r="A45" s="150" t="s">
        <v>41</v>
      </c>
      <c r="B45" s="151">
        <f>SUM(B42:B44)</f>
        <v>20900</v>
      </c>
      <c r="C45" t="s">
        <v>109</v>
      </c>
      <c r="D45" s="127"/>
    </row>
    <row r="46" spans="1:8" x14ac:dyDescent="0.3">
      <c r="B46" s="152"/>
      <c r="D46" s="127"/>
    </row>
    <row r="47" spans="1:8" x14ac:dyDescent="0.3">
      <c r="B47" s="152"/>
      <c r="D47" s="127"/>
    </row>
    <row r="48" spans="1:8" x14ac:dyDescent="0.3">
      <c r="A48" s="91" t="s">
        <v>196</v>
      </c>
      <c r="B48" s="152"/>
      <c r="D48" s="127"/>
    </row>
    <row r="49" spans="1:6" x14ac:dyDescent="0.3">
      <c r="B49" s="152"/>
      <c r="D49" s="127"/>
    </row>
    <row r="56" spans="1:6" x14ac:dyDescent="0.3">
      <c r="A56" s="15" t="s">
        <v>197</v>
      </c>
    </row>
    <row r="59" spans="1:6" x14ac:dyDescent="0.3">
      <c r="A59" s="109">
        <v>210000</v>
      </c>
      <c r="C59" s="1" t="s">
        <v>198</v>
      </c>
      <c r="D59" s="131">
        <f>A59*0.4</f>
        <v>84000</v>
      </c>
      <c r="E59" s="153">
        <f>84000/125</f>
        <v>672</v>
      </c>
      <c r="F59" s="127"/>
    </row>
    <row r="60" spans="1:6" x14ac:dyDescent="0.3">
      <c r="C60" s="1" t="s">
        <v>199</v>
      </c>
      <c r="D60" s="131">
        <f>A59-D59</f>
        <v>126000</v>
      </c>
      <c r="E60" s="153">
        <f>D60/B6</f>
        <v>1260</v>
      </c>
      <c r="F60" s="127"/>
    </row>
    <row r="61" spans="1:6" x14ac:dyDescent="0.3">
      <c r="C61" s="1" t="s">
        <v>200</v>
      </c>
      <c r="D61" s="131"/>
      <c r="E61" s="154">
        <f>+SUM(E59:E60)</f>
        <v>1932</v>
      </c>
      <c r="F61" s="127"/>
    </row>
    <row r="62" spans="1:6" x14ac:dyDescent="0.3">
      <c r="D62" s="152"/>
      <c r="F62" s="127"/>
    </row>
    <row r="63" spans="1:6" x14ac:dyDescent="0.3">
      <c r="D63" s="152"/>
      <c r="F63" s="127"/>
    </row>
    <row r="64" spans="1:6" x14ac:dyDescent="0.3">
      <c r="A64" s="15" t="s">
        <v>201</v>
      </c>
      <c r="D64" s="152"/>
      <c r="F64" s="127"/>
    </row>
    <row r="65" spans="2:5" x14ac:dyDescent="0.3">
      <c r="B65" s="1" t="s">
        <v>202</v>
      </c>
      <c r="C65" s="1"/>
      <c r="D65" s="1">
        <f>C9</f>
        <v>9500</v>
      </c>
      <c r="E65" s="135"/>
    </row>
    <row r="66" spans="2:5" x14ac:dyDescent="0.3">
      <c r="B66" s="1" t="s">
        <v>203</v>
      </c>
      <c r="C66" s="1"/>
      <c r="D66" s="1">
        <f>E61+D65</f>
        <v>11432</v>
      </c>
      <c r="E66" s="155" t="s">
        <v>204</v>
      </c>
    </row>
    <row r="67" spans="2:5" x14ac:dyDescent="0.3">
      <c r="B67" s="1" t="s">
        <v>205</v>
      </c>
      <c r="C67" s="1"/>
      <c r="D67" s="1">
        <f>40*360</f>
        <v>14400</v>
      </c>
      <c r="E67" s="135"/>
    </row>
    <row r="68" spans="2:5" x14ac:dyDescent="0.3">
      <c r="B68" s="1" t="s">
        <v>168</v>
      </c>
      <c r="C68" s="1"/>
      <c r="D68" s="156">
        <f>D66/D67</f>
        <v>0.79388888888888887</v>
      </c>
      <c r="E68" s="155" t="s">
        <v>206</v>
      </c>
    </row>
  </sheetData>
  <mergeCells count="7">
    <mergeCell ref="A41:D41"/>
    <mergeCell ref="F41:G41"/>
    <mergeCell ref="A1:H1"/>
    <mergeCell ref="B4:C4"/>
    <mergeCell ref="D4:E4"/>
    <mergeCell ref="A22:C22"/>
    <mergeCell ref="C30:D30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D28A-7F9F-447C-87A8-D23F1F438E53}">
  <dimension ref="A1:K29"/>
  <sheetViews>
    <sheetView showGridLines="0" tabSelected="1" workbookViewId="0">
      <selection activeCell="P14" sqref="P14"/>
    </sheetView>
  </sheetViews>
  <sheetFormatPr baseColWidth="10" defaultRowHeight="14.4" x14ac:dyDescent="0.3"/>
  <cols>
    <col min="1" max="1" width="16.88671875" customWidth="1"/>
    <col min="2" max="2" width="25.33203125" customWidth="1"/>
    <col min="3" max="3" width="16.109375" customWidth="1"/>
    <col min="4" max="4" width="14" customWidth="1"/>
    <col min="5" max="5" width="15.6640625" bestFit="1" customWidth="1"/>
    <col min="6" max="6" width="13.109375" customWidth="1"/>
    <col min="7" max="7" width="15" customWidth="1"/>
    <col min="8" max="8" width="15.6640625" customWidth="1"/>
    <col min="9" max="9" width="16.44140625" bestFit="1" customWidth="1"/>
  </cols>
  <sheetData>
    <row r="1" spans="1:10" x14ac:dyDescent="0.3">
      <c r="A1" s="182" t="s">
        <v>232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x14ac:dyDescent="0.3">
      <c r="B2" s="1"/>
      <c r="C2" s="172" t="s">
        <v>211</v>
      </c>
      <c r="D2" s="172"/>
      <c r="E2" s="172"/>
      <c r="F2" s="172" t="s">
        <v>212</v>
      </c>
      <c r="G2" s="172"/>
      <c r="H2" s="172"/>
      <c r="I2" s="196" t="s">
        <v>207</v>
      </c>
      <c r="J2" s="197"/>
    </row>
    <row r="3" spans="1:10" x14ac:dyDescent="0.3">
      <c r="B3" s="1"/>
      <c r="C3" s="14" t="s">
        <v>2</v>
      </c>
      <c r="D3" s="14" t="s">
        <v>1</v>
      </c>
      <c r="E3" s="14" t="s">
        <v>0</v>
      </c>
      <c r="F3" s="14" t="s">
        <v>2</v>
      </c>
      <c r="G3" s="14" t="s">
        <v>1</v>
      </c>
      <c r="H3" s="14" t="s">
        <v>0</v>
      </c>
      <c r="I3" s="198"/>
      <c r="J3" s="199"/>
    </row>
    <row r="4" spans="1:10" ht="18" x14ac:dyDescent="0.35">
      <c r="B4" s="1" t="s">
        <v>213</v>
      </c>
      <c r="C4" s="1">
        <v>14000</v>
      </c>
      <c r="D4" s="17">
        <v>12</v>
      </c>
      <c r="E4" s="17">
        <f>+C4*D4</f>
        <v>168000</v>
      </c>
      <c r="F4" s="1">
        <v>12780</v>
      </c>
      <c r="G4" s="158">
        <f>H4/F4</f>
        <v>11.2</v>
      </c>
      <c r="H4" s="17">
        <v>143136</v>
      </c>
      <c r="I4" s="159">
        <f>+H4-E4</f>
        <v>-24864</v>
      </c>
      <c r="J4" s="160" t="s">
        <v>110</v>
      </c>
    </row>
    <row r="5" spans="1:10" ht="18" x14ac:dyDescent="0.35">
      <c r="B5" s="1" t="s">
        <v>214</v>
      </c>
      <c r="C5" s="1">
        <v>2000</v>
      </c>
      <c r="D5" s="17">
        <v>15</v>
      </c>
      <c r="E5" s="17">
        <f t="shared" ref="E5:E6" si="0">+C5*D5</f>
        <v>30000</v>
      </c>
      <c r="F5" s="1">
        <v>3263</v>
      </c>
      <c r="G5" s="158">
        <f t="shared" ref="G5:G6" si="1">+H5/F5</f>
        <v>14.28</v>
      </c>
      <c r="H5" s="17">
        <v>46595.64</v>
      </c>
      <c r="I5" s="159">
        <f t="shared" ref="I5:I6" si="2">+H5-E5</f>
        <v>16595.64</v>
      </c>
      <c r="J5" s="160" t="s">
        <v>109</v>
      </c>
    </row>
    <row r="6" spans="1:10" ht="18" x14ac:dyDescent="0.35">
      <c r="B6" s="1" t="s">
        <v>215</v>
      </c>
      <c r="C6" s="1">
        <v>4000</v>
      </c>
      <c r="D6" s="17">
        <v>3</v>
      </c>
      <c r="E6" s="17">
        <f t="shared" si="0"/>
        <v>12000</v>
      </c>
      <c r="F6" s="1">
        <v>4803</v>
      </c>
      <c r="G6" s="158">
        <f t="shared" si="1"/>
        <v>3.0999999999999996</v>
      </c>
      <c r="H6" s="17">
        <v>14889.3</v>
      </c>
      <c r="I6" s="159">
        <f t="shared" si="2"/>
        <v>2889.2999999999993</v>
      </c>
      <c r="J6" s="160" t="s">
        <v>109</v>
      </c>
    </row>
    <row r="7" spans="1:10" ht="18" x14ac:dyDescent="0.35">
      <c r="B7" s="1"/>
      <c r="C7" s="1">
        <f>SUM(C4:C6)</f>
        <v>20000</v>
      </c>
      <c r="D7" s="12">
        <f>E7/C7</f>
        <v>10.5</v>
      </c>
      <c r="E7" s="2">
        <f>SUM(E4:E6)</f>
        <v>210000</v>
      </c>
      <c r="F7" s="1">
        <f>SUM(F4:F6)</f>
        <v>20846</v>
      </c>
      <c r="G7" s="1"/>
      <c r="H7" s="2">
        <f>SUM(H4:H6)</f>
        <v>204620.94</v>
      </c>
      <c r="I7" s="161">
        <f>SUM(I4:I6)</f>
        <v>-5379.0600000000013</v>
      </c>
      <c r="J7" s="160" t="s">
        <v>110</v>
      </c>
    </row>
    <row r="10" spans="1:10" x14ac:dyDescent="0.3">
      <c r="A10" s="1"/>
      <c r="B10" s="173" t="s">
        <v>216</v>
      </c>
      <c r="C10" s="175"/>
      <c r="D10" s="173" t="s">
        <v>214</v>
      </c>
      <c r="E10" s="175"/>
      <c r="F10" s="173" t="s">
        <v>217</v>
      </c>
      <c r="G10" s="175"/>
      <c r="H10" s="1"/>
    </row>
    <row r="11" spans="1:10" x14ac:dyDescent="0.3">
      <c r="A11" s="1" t="s">
        <v>208</v>
      </c>
      <c r="B11" s="17">
        <f>(G4-D4)*F4</f>
        <v>-10224.000000000009</v>
      </c>
      <c r="C11" s="14" t="s">
        <v>110</v>
      </c>
      <c r="D11" s="17">
        <f>(G5-D5)*F5</f>
        <v>-2349.3600000000019</v>
      </c>
      <c r="E11" s="14" t="s">
        <v>110</v>
      </c>
      <c r="F11" s="17">
        <f>(G6-D6)*F6</f>
        <v>480.29999999999831</v>
      </c>
      <c r="G11" s="14" t="s">
        <v>109</v>
      </c>
      <c r="H11" s="2">
        <f>+F11+D11+B11</f>
        <v>-12093.060000000012</v>
      </c>
    </row>
    <row r="12" spans="1:10" x14ac:dyDescent="0.3">
      <c r="A12" s="30" t="s">
        <v>209</v>
      </c>
      <c r="B12" s="8">
        <f>(F4-C4)*D4</f>
        <v>-14640</v>
      </c>
      <c r="C12" s="140" t="s">
        <v>110</v>
      </c>
      <c r="D12" s="8">
        <f>(F5-C5)*D5</f>
        <v>18945</v>
      </c>
      <c r="E12" s="140" t="s">
        <v>109</v>
      </c>
      <c r="F12" s="8">
        <f>(F6-C6)*D6</f>
        <v>2409</v>
      </c>
      <c r="G12" s="162" t="s">
        <v>109</v>
      </c>
      <c r="H12" s="8">
        <f>+F12+D12+B12</f>
        <v>6714</v>
      </c>
    </row>
    <row r="13" spans="1:10" x14ac:dyDescent="0.3">
      <c r="A13" s="30"/>
      <c r="B13" s="8">
        <f>B11+B12</f>
        <v>-24864.000000000007</v>
      </c>
      <c r="C13" s="140" t="s">
        <v>110</v>
      </c>
      <c r="D13" s="8">
        <f>D12+D11</f>
        <v>16595.64</v>
      </c>
      <c r="E13" s="140" t="s">
        <v>109</v>
      </c>
      <c r="F13" s="8">
        <f>F11+F12</f>
        <v>2889.2999999999984</v>
      </c>
      <c r="G13" s="140" t="s">
        <v>109</v>
      </c>
      <c r="H13" s="30"/>
    </row>
    <row r="17" spans="1:11" x14ac:dyDescent="0.3">
      <c r="A17" t="s">
        <v>218</v>
      </c>
      <c r="B17" s="9" t="s">
        <v>219</v>
      </c>
      <c r="C17" s="163">
        <f>(20846-20000)*10.5</f>
        <v>8883</v>
      </c>
      <c r="D17" t="s">
        <v>109</v>
      </c>
    </row>
    <row r="19" spans="1:11" x14ac:dyDescent="0.3">
      <c r="A19" t="s">
        <v>147</v>
      </c>
    </row>
    <row r="20" spans="1:11" x14ac:dyDescent="0.3">
      <c r="B20" s="1"/>
      <c r="C20" s="1" t="s">
        <v>220</v>
      </c>
      <c r="D20" s="1" t="s">
        <v>154</v>
      </c>
      <c r="E20" s="1" t="s">
        <v>221</v>
      </c>
      <c r="F20" s="1" t="s">
        <v>222</v>
      </c>
    </row>
    <row r="21" spans="1:11" x14ac:dyDescent="0.3">
      <c r="A21" s="157" t="s">
        <v>223</v>
      </c>
      <c r="B21" s="1" t="s">
        <v>224</v>
      </c>
      <c r="C21" s="1">
        <f>14/20*20846</f>
        <v>14592.199999999999</v>
      </c>
      <c r="D21" s="164">
        <f>F4</f>
        <v>12780</v>
      </c>
      <c r="E21" s="164">
        <f>D21-C21</f>
        <v>-1812.1999999999989</v>
      </c>
      <c r="F21" s="2">
        <f>E21*D4</f>
        <v>-21746.399999999987</v>
      </c>
      <c r="G21" t="s">
        <v>110</v>
      </c>
      <c r="K21">
        <f>7106+1269+507</f>
        <v>8882</v>
      </c>
    </row>
    <row r="22" spans="1:11" x14ac:dyDescent="0.3">
      <c r="A22" s="157" t="s">
        <v>225</v>
      </c>
      <c r="B22" s="1" t="s">
        <v>226</v>
      </c>
      <c r="C22" s="1">
        <f>2/20*20846</f>
        <v>2084.6</v>
      </c>
      <c r="D22" s="164">
        <f>F5</f>
        <v>3263</v>
      </c>
      <c r="E22" s="164">
        <f t="shared" ref="E22:E23" si="3">D22-C22</f>
        <v>1178.4000000000001</v>
      </c>
      <c r="F22" s="2">
        <f>E22*D5</f>
        <v>17676</v>
      </c>
      <c r="G22" t="s">
        <v>109</v>
      </c>
    </row>
    <row r="23" spans="1:11" x14ac:dyDescent="0.3">
      <c r="A23" s="157" t="s">
        <v>227</v>
      </c>
      <c r="B23" s="1" t="s">
        <v>228</v>
      </c>
      <c r="C23" s="1">
        <f>4/20*20846</f>
        <v>4169.2</v>
      </c>
      <c r="D23" s="164">
        <f>F6</f>
        <v>4803</v>
      </c>
      <c r="E23" s="164">
        <f t="shared" si="3"/>
        <v>633.80000000000018</v>
      </c>
      <c r="F23" s="2">
        <f>E23*D6</f>
        <v>1901.4000000000005</v>
      </c>
      <c r="G23" t="s">
        <v>109</v>
      </c>
    </row>
    <row r="24" spans="1:11" x14ac:dyDescent="0.3">
      <c r="B24" s="1" t="s">
        <v>41</v>
      </c>
      <c r="C24" s="1">
        <f>SUM(C21:C23)</f>
        <v>20846</v>
      </c>
      <c r="D24" s="1">
        <f t="shared" ref="D24:E24" si="4">SUM(D21:D23)</f>
        <v>20846</v>
      </c>
      <c r="E24" s="165">
        <f t="shared" si="4"/>
        <v>1.3642420526593924E-12</v>
      </c>
      <c r="F24" s="23">
        <f>SUM(F21:F23)</f>
        <v>-2168.9999999999864</v>
      </c>
      <c r="G24" t="s">
        <v>110</v>
      </c>
      <c r="H24" s="13">
        <f>F24+C17</f>
        <v>6714.0000000000136</v>
      </c>
    </row>
    <row r="27" spans="1:11" x14ac:dyDescent="0.3">
      <c r="A27" t="s">
        <v>210</v>
      </c>
    </row>
    <row r="28" spans="1:11" x14ac:dyDescent="0.3">
      <c r="B28" t="s">
        <v>229</v>
      </c>
    </row>
    <row r="29" spans="1:11" x14ac:dyDescent="0.3">
      <c r="B29" t="s">
        <v>230</v>
      </c>
    </row>
  </sheetData>
  <mergeCells count="7">
    <mergeCell ref="B10:C10"/>
    <mergeCell ref="D10:E10"/>
    <mergeCell ref="F10:G10"/>
    <mergeCell ref="A1:J1"/>
    <mergeCell ref="C2:E2"/>
    <mergeCell ref="F2:H2"/>
    <mergeCell ref="I2:J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2" ma:contentTypeDescription="Crée un document." ma:contentTypeScope="" ma:versionID="64fd4b693ab861ecd05c7c9a0ff5b725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1d535e6f73a1e622272d656ab1345b4a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76FC57-586E-429D-B519-4AF65FA2F9DE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1b6f2b70-d5a1-4544-a145-5b4293f1365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745BC19-9308-4CC2-93A1-334433087B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64A0F2-25E4-46FB-8FCB-6EC7EBAD8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Exercice 1</vt:lpstr>
      <vt:lpstr>Exercice 2</vt:lpstr>
      <vt:lpstr>Exercice 3</vt:lpstr>
      <vt:lpstr>Exercice 4</vt:lpstr>
      <vt:lpstr>Exercice 5</vt:lpstr>
      <vt:lpstr>Exercice 6</vt:lpstr>
      <vt:lpstr>Exercice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 Noel</cp:lastModifiedBy>
  <dcterms:created xsi:type="dcterms:W3CDTF">2016-07-11T11:01:41Z</dcterms:created>
  <dcterms:modified xsi:type="dcterms:W3CDTF">2024-08-24T12:38:00Z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cf6c1cd0-1224-432d-a064-9bb98d7bcf06</vt:lpwstr>
  </property>
  <property fmtid="{D5CDD505-2E9C-101B-9397-08002B2CF9AE}" pid="3" name="ContentTypeId">
    <vt:lpwstr>0x01010021529F2146C75048A695AB3F03D98EF9</vt:lpwstr>
  </property>
</Properties>
</file>