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M32F05 - M32M05 FA - FI\Le coût cible\"/>
    </mc:Choice>
  </mc:AlternateContent>
  <bookViews>
    <workbookView xWindow="0" yWindow="0" windowWidth="19365" windowHeight="9390"/>
  </bookViews>
  <sheets>
    <sheet name="Exo 1" sheetId="2" r:id="rId1"/>
    <sheet name="Exo 2" sheetId="4" r:id="rId2"/>
    <sheet name="Exo 3" sheetId="3" r:id="rId3"/>
    <sheet name="Exo 4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D46" i="2"/>
  <c r="E46" i="2"/>
  <c r="F46" i="2"/>
  <c r="G46" i="2"/>
  <c r="H46" i="2"/>
  <c r="B46" i="2"/>
  <c r="S8" i="3" l="1"/>
  <c r="B23" i="4" l="1"/>
  <c r="C30" i="5" l="1"/>
  <c r="C29" i="5"/>
  <c r="D30" i="5"/>
  <c r="E30" i="5"/>
  <c r="F30" i="5"/>
  <c r="G30" i="5"/>
  <c r="H30" i="5"/>
  <c r="I30" i="5"/>
  <c r="D22" i="5"/>
  <c r="E22" i="5"/>
  <c r="F22" i="5"/>
  <c r="G22" i="5"/>
  <c r="H22" i="5"/>
  <c r="I22" i="5"/>
  <c r="C22" i="5"/>
  <c r="J17" i="5"/>
  <c r="J16" i="5"/>
  <c r="C15" i="4"/>
  <c r="B15" i="4"/>
  <c r="B11" i="4"/>
  <c r="C47" i="2"/>
  <c r="D47" i="2"/>
  <c r="E47" i="2"/>
  <c r="F47" i="2"/>
  <c r="G47" i="2"/>
  <c r="B47" i="2"/>
  <c r="I6" i="3" l="1"/>
  <c r="O22" i="3"/>
  <c r="O21" i="3"/>
  <c r="O17" i="3"/>
  <c r="O18" i="3"/>
  <c r="O19" i="3"/>
  <c r="O20" i="3"/>
  <c r="O16" i="3"/>
  <c r="P6" i="3"/>
  <c r="E12" i="3"/>
  <c r="M2" i="3"/>
  <c r="M34" i="3"/>
  <c r="J34" i="3"/>
  <c r="F34" i="3"/>
  <c r="M33" i="3"/>
  <c r="M32" i="3"/>
  <c r="I32" i="3"/>
  <c r="K32" i="3" s="1"/>
  <c r="L32" i="3" s="1"/>
  <c r="M31" i="3"/>
  <c r="F31" i="3"/>
  <c r="M30" i="3"/>
  <c r="J30" i="3"/>
  <c r="J35" i="3" s="1"/>
  <c r="F30" i="3"/>
  <c r="K30" i="3" s="1"/>
  <c r="L30" i="3" s="1"/>
  <c r="E30" i="3"/>
  <c r="M29" i="3"/>
  <c r="M35" i="3" s="1"/>
  <c r="K29" i="3"/>
  <c r="L29" i="3" s="1"/>
  <c r="L35" i="3" s="1"/>
  <c r="I29" i="3"/>
  <c r="H29" i="3"/>
  <c r="H35" i="3" s="1"/>
  <c r="G29" i="3"/>
  <c r="E29" i="3"/>
  <c r="E35" i="3" s="1"/>
  <c r="N32" i="3" l="1"/>
  <c r="N30" i="3"/>
  <c r="F35" i="3"/>
  <c r="K35" i="3"/>
  <c r="N29" i="3"/>
  <c r="N35" i="3" s="1"/>
  <c r="D25" i="4"/>
  <c r="E25" i="4"/>
  <c r="E11" i="4"/>
  <c r="F16" i="4"/>
  <c r="F17" i="4"/>
  <c r="J26" i="5"/>
  <c r="J27" i="5"/>
  <c r="D29" i="5"/>
  <c r="E29" i="5"/>
  <c r="F29" i="5"/>
  <c r="G29" i="5"/>
  <c r="H29" i="5"/>
  <c r="I29" i="5"/>
  <c r="D39" i="5"/>
  <c r="D51" i="5" s="1"/>
  <c r="E39" i="5"/>
  <c r="E51" i="5" s="1"/>
  <c r="F39" i="5"/>
  <c r="F51" i="5" s="1"/>
  <c r="G39" i="5"/>
  <c r="G51" i="5" s="1"/>
  <c r="H39" i="5"/>
  <c r="I39" i="5"/>
  <c r="C39" i="5"/>
  <c r="C51" i="5" s="1"/>
  <c r="F2" i="5"/>
  <c r="C4" i="5"/>
  <c r="D4" i="5"/>
  <c r="E4" i="5"/>
  <c r="B4" i="5"/>
  <c r="F4" i="5" l="1"/>
  <c r="H51" i="5"/>
  <c r="J29" i="5"/>
  <c r="J30" i="5" s="1"/>
  <c r="J39" i="5"/>
  <c r="D24" i="4"/>
  <c r="E24" i="4"/>
  <c r="F22" i="4"/>
  <c r="D23" i="4"/>
  <c r="E23" i="4"/>
  <c r="C18" i="4"/>
  <c r="C23" i="4" s="1"/>
  <c r="C24" i="4" s="1"/>
  <c r="C25" i="4" s="1"/>
  <c r="D18" i="4"/>
  <c r="E18" i="4"/>
  <c r="B18" i="4"/>
  <c r="F18" i="4" s="1"/>
  <c r="C17" i="4"/>
  <c r="D17" i="4"/>
  <c r="E17" i="4"/>
  <c r="B17" i="4"/>
  <c r="C16" i="4"/>
  <c r="D16" i="4"/>
  <c r="E16" i="4"/>
  <c r="B16" i="4"/>
  <c r="F15" i="4"/>
  <c r="B22" i="4"/>
  <c r="D11" i="4"/>
  <c r="C11" i="4"/>
  <c r="C22" i="4"/>
  <c r="D22" i="4"/>
  <c r="E22" i="4"/>
  <c r="B8" i="4"/>
  <c r="B6" i="4"/>
  <c r="B4" i="4"/>
  <c r="B3" i="4"/>
  <c r="B36" i="2"/>
  <c r="B37" i="2"/>
  <c r="J51" i="5" l="1"/>
  <c r="B24" i="4"/>
  <c r="B25" i="4" s="1"/>
  <c r="B8" i="5"/>
  <c r="H25" i="2"/>
  <c r="H44" i="2"/>
  <c r="E31" i="2"/>
  <c r="E32" i="2" s="1"/>
  <c r="D31" i="2"/>
  <c r="D32" i="2" s="1"/>
  <c r="C31" i="2"/>
  <c r="C32" i="2" s="1"/>
  <c r="B31" i="2"/>
  <c r="B32" i="2" s="1"/>
  <c r="F30" i="2"/>
  <c r="B13" i="2"/>
  <c r="F5" i="2"/>
  <c r="C6" i="2"/>
  <c r="C7" i="2" s="1"/>
  <c r="D6" i="2"/>
  <c r="D7" i="2" s="1"/>
  <c r="E6" i="2"/>
  <c r="E7" i="2" s="1"/>
  <c r="B6" i="2"/>
  <c r="B7" i="2" s="1"/>
  <c r="H38" i="5" l="1"/>
  <c r="H41" i="5" s="1"/>
  <c r="H42" i="5" s="1"/>
  <c r="B13" i="5"/>
  <c r="B12" i="5"/>
  <c r="F23" i="4"/>
  <c r="F24" i="4" s="1"/>
  <c r="F25" i="4" s="1"/>
  <c r="I38" i="5"/>
  <c r="I41" i="5" s="1"/>
  <c r="I42" i="5" s="1"/>
  <c r="D38" i="5"/>
  <c r="D41" i="5" s="1"/>
  <c r="D42" i="5" s="1"/>
  <c r="G38" i="5"/>
  <c r="G41" i="5" s="1"/>
  <c r="G42" i="5" s="1"/>
  <c r="C38" i="5"/>
  <c r="C41" i="5" s="1"/>
  <c r="E38" i="5"/>
  <c r="E41" i="5" s="1"/>
  <c r="E42" i="5" s="1"/>
  <c r="F38" i="5"/>
  <c r="F41" i="5" s="1"/>
  <c r="F42" i="5" s="1"/>
  <c r="B45" i="5"/>
  <c r="B46" i="5" s="1"/>
  <c r="F50" i="5" s="1"/>
  <c r="F53" i="5" s="1"/>
  <c r="F54" i="5" s="1"/>
  <c r="F32" i="2"/>
  <c r="F31" i="2"/>
  <c r="F7" i="2"/>
  <c r="H7" i="2" s="1"/>
  <c r="F6" i="2"/>
  <c r="H5" i="2" s="1"/>
  <c r="E22" i="3"/>
  <c r="F22" i="3"/>
  <c r="G22" i="3"/>
  <c r="H22" i="3"/>
  <c r="I22" i="3"/>
  <c r="D22" i="3"/>
  <c r="Q7" i="3"/>
  <c r="Q8" i="3"/>
  <c r="Q9" i="3"/>
  <c r="Q10" i="3"/>
  <c r="Q11" i="3"/>
  <c r="Q6" i="3"/>
  <c r="N22" i="3"/>
  <c r="B12" i="2"/>
  <c r="E20" i="5" l="1"/>
  <c r="H20" i="5"/>
  <c r="I20" i="5"/>
  <c r="F20" i="5"/>
  <c r="G20" i="5"/>
  <c r="C20" i="5"/>
  <c r="D20" i="5"/>
  <c r="D21" i="5"/>
  <c r="I21" i="5"/>
  <c r="C21" i="5"/>
  <c r="E21" i="5"/>
  <c r="F21" i="5"/>
  <c r="H21" i="5"/>
  <c r="G21" i="5"/>
  <c r="J38" i="5"/>
  <c r="J40" i="5" s="1"/>
  <c r="H50" i="5"/>
  <c r="H53" i="5" s="1"/>
  <c r="H54" i="5" s="1"/>
  <c r="D50" i="5"/>
  <c r="D53" i="5" s="1"/>
  <c r="D54" i="5" s="1"/>
  <c r="G50" i="5"/>
  <c r="G53" i="5" s="1"/>
  <c r="G54" i="5" s="1"/>
  <c r="I50" i="5"/>
  <c r="I53" i="5" s="1"/>
  <c r="I54" i="5" s="1"/>
  <c r="C42" i="5"/>
  <c r="J41" i="5"/>
  <c r="E50" i="5"/>
  <c r="E53" i="5" s="1"/>
  <c r="E54" i="5" s="1"/>
  <c r="C50" i="5"/>
  <c r="H34" i="3"/>
  <c r="K34" i="3" s="1"/>
  <c r="L34" i="3" s="1"/>
  <c r="N34" i="3" s="1"/>
  <c r="H30" i="3"/>
  <c r="L6" i="3"/>
  <c r="L11" i="3"/>
  <c r="L7" i="3"/>
  <c r="L12" i="3" s="1"/>
  <c r="Q12" i="3"/>
  <c r="B14" i="2"/>
  <c r="B38" i="2"/>
  <c r="J21" i="5" l="1"/>
  <c r="J20" i="5"/>
  <c r="J22" i="5" s="1"/>
  <c r="J50" i="5"/>
  <c r="J52" i="5" s="1"/>
  <c r="C53" i="5"/>
  <c r="N11" i="3"/>
  <c r="N7" i="3"/>
  <c r="N12" i="3" s="1"/>
  <c r="J7" i="3"/>
  <c r="J8" i="3"/>
  <c r="O8" i="3" s="1"/>
  <c r="P8" i="3" s="1"/>
  <c r="R8" i="3" s="1"/>
  <c r="J11" i="3"/>
  <c r="G30" i="3"/>
  <c r="G35" i="3" s="1"/>
  <c r="K7" i="3"/>
  <c r="K6" i="3"/>
  <c r="I33" i="3"/>
  <c r="K33" i="3" s="1"/>
  <c r="L33" i="3" s="1"/>
  <c r="N33" i="3" s="1"/>
  <c r="I31" i="3"/>
  <c r="M8" i="3"/>
  <c r="M10" i="3"/>
  <c r="O10" i="3" s="1"/>
  <c r="P10" i="3" s="1"/>
  <c r="R10" i="3" s="1"/>
  <c r="S10" i="3" s="1"/>
  <c r="M6" i="3"/>
  <c r="M9" i="3"/>
  <c r="O9" i="3" s="1"/>
  <c r="P9" i="3" s="1"/>
  <c r="R9" i="3" s="1"/>
  <c r="S9" i="3" s="1"/>
  <c r="I7" i="3"/>
  <c r="B43" i="2"/>
  <c r="C43" i="2"/>
  <c r="D43" i="2"/>
  <c r="E43" i="2"/>
  <c r="F43" i="2"/>
  <c r="G43" i="2"/>
  <c r="C19" i="2"/>
  <c r="C24" i="2" s="1"/>
  <c r="C26" i="2" s="1"/>
  <c r="E19" i="2"/>
  <c r="E24" i="2" s="1"/>
  <c r="E26" i="2" s="1"/>
  <c r="F19" i="2"/>
  <c r="F24" i="2" s="1"/>
  <c r="F26" i="2" s="1"/>
  <c r="G19" i="2"/>
  <c r="G24" i="2" s="1"/>
  <c r="G26" i="2" s="1"/>
  <c r="B19" i="2"/>
  <c r="B24" i="2" s="1"/>
  <c r="D19" i="2"/>
  <c r="D24" i="2" s="1"/>
  <c r="D26" i="2" s="1"/>
  <c r="C54" i="5" l="1"/>
  <c r="J53" i="5"/>
  <c r="K12" i="3"/>
  <c r="M12" i="3"/>
  <c r="O7" i="3"/>
  <c r="P7" i="3" s="1"/>
  <c r="R7" i="3" s="1"/>
  <c r="S7" i="3" s="1"/>
  <c r="O11" i="3"/>
  <c r="P11" i="3" s="1"/>
  <c r="R11" i="3" s="1"/>
  <c r="S11" i="3" s="1"/>
  <c r="J12" i="3"/>
  <c r="I12" i="3"/>
  <c r="O6" i="3"/>
  <c r="I35" i="3"/>
  <c r="K31" i="3"/>
  <c r="L31" i="3" s="1"/>
  <c r="N31" i="3" s="1"/>
  <c r="B26" i="2"/>
  <c r="H24" i="2"/>
  <c r="H27" i="2" s="1"/>
  <c r="H43" i="2"/>
  <c r="H19" i="2"/>
  <c r="O12" i="3" l="1"/>
  <c r="R6" i="3" l="1"/>
  <c r="P12" i="3"/>
  <c r="R12" i="3" l="1"/>
  <c r="S6" i="3"/>
</calcChain>
</file>

<file path=xl/comments1.xml><?xml version="1.0" encoding="utf-8"?>
<comments xmlns="http://schemas.openxmlformats.org/spreadsheetml/2006/main">
  <authors>
    <author>NOEL Eric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52 000 000 * 40%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99000000/180000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32 550 000 / 180 000 unités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369,17*20%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 xml:space="preserve">50 400 000 * 40%
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</rPr>
          <t>355,50*20% = 71,10€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NOEL Eric</author>
  </authors>
  <commentList>
    <comment ref="I6" authorId="0" shapeId="0">
      <text>
        <r>
          <rPr>
            <b/>
            <sz val="9"/>
            <color indexed="81"/>
            <rFont val="Tahoma"/>
            <charset val="1"/>
          </rPr>
          <t>14,29%*80% = 11,43%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6" authorId="0" shapeId="0">
      <text>
        <r>
          <rPr>
            <b/>
            <sz val="9"/>
            <color indexed="81"/>
            <rFont val="Tahoma"/>
            <family val="2"/>
          </rPr>
          <t>36 * 32,86%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>
      <text>
        <r>
          <rPr>
            <b/>
            <sz val="9"/>
            <color indexed="81"/>
            <rFont val="Tahoma"/>
            <charset val="1"/>
          </rPr>
          <t>=2,34/8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16" authorId="0" shapeId="0">
      <text>
        <r>
          <rPr>
            <b/>
            <sz val="9"/>
            <color indexed="81"/>
            <rFont val="Tahoma"/>
            <charset val="1"/>
          </rPr>
          <t>6/42 =&gt; 14,29%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<sst xmlns="http://schemas.openxmlformats.org/spreadsheetml/2006/main" count="245" uniqueCount="99">
  <si>
    <t>Confort</t>
  </si>
  <si>
    <t>Fonctions</t>
  </si>
  <si>
    <t>TOTAL</t>
  </si>
  <si>
    <t xml:space="preserve">Coût cible </t>
  </si>
  <si>
    <t>Ecart</t>
  </si>
  <si>
    <t>Coût estimé</t>
  </si>
  <si>
    <t>Prix</t>
  </si>
  <si>
    <t>Quantité</t>
  </si>
  <si>
    <t>Années</t>
  </si>
  <si>
    <t>Importance relative du client</t>
  </si>
  <si>
    <t>Design</t>
  </si>
  <si>
    <t>Ecran</t>
  </si>
  <si>
    <t>Interface</t>
  </si>
  <si>
    <t>Autonomie</t>
  </si>
  <si>
    <t>Photo</t>
  </si>
  <si>
    <t>Stockage</t>
  </si>
  <si>
    <t>Prix de vente moyen</t>
  </si>
  <si>
    <t>Marge cible moyenne</t>
  </si>
  <si>
    <t>Coût cible</t>
  </si>
  <si>
    <t>ECART</t>
  </si>
  <si>
    <t>FO 1</t>
  </si>
  <si>
    <t>Facilité d'installation</t>
  </si>
  <si>
    <t>FO 2</t>
  </si>
  <si>
    <t>Facilité d'entretien</t>
  </si>
  <si>
    <t>FO 3</t>
  </si>
  <si>
    <t>Dispositif anti-vol</t>
  </si>
  <si>
    <t>FO 4</t>
  </si>
  <si>
    <t xml:space="preserve">Solidité </t>
  </si>
  <si>
    <t>FO 5</t>
  </si>
  <si>
    <t>Sécurité de l'utilisateur</t>
  </si>
  <si>
    <t>FO 6</t>
  </si>
  <si>
    <t>Légèreté</t>
  </si>
  <si>
    <t>Matrice de coût cible (croisement des composant et des fonctions)</t>
  </si>
  <si>
    <t>Total</t>
  </si>
  <si>
    <t>FO1</t>
  </si>
  <si>
    <t>FO2</t>
  </si>
  <si>
    <t>FO3</t>
  </si>
  <si>
    <t>FO4</t>
  </si>
  <si>
    <t>FO5</t>
  </si>
  <si>
    <t>FO6</t>
  </si>
  <si>
    <t>C 1</t>
  </si>
  <si>
    <t>C 2</t>
  </si>
  <si>
    <t>C 3</t>
  </si>
  <si>
    <t>C 4</t>
  </si>
  <si>
    <t>C 5</t>
  </si>
  <si>
    <t>C 6</t>
  </si>
  <si>
    <t>Référence</t>
  </si>
  <si>
    <t>composant</t>
  </si>
  <si>
    <t>Composant</t>
  </si>
  <si>
    <t>Coût</t>
  </si>
  <si>
    <t>estimé</t>
  </si>
  <si>
    <t>Socle mural de fixation</t>
  </si>
  <si>
    <t>Coque métallique blanche</t>
  </si>
  <si>
    <t>Ventilateur silencieux</t>
  </si>
  <si>
    <t>Résistance de chauffage rapide</t>
  </si>
  <si>
    <t>Dispositif Marche / Arrêt automatique</t>
  </si>
  <si>
    <t>Flexible extensible jusqu'à 1,50 mètre</t>
  </si>
  <si>
    <t>CA</t>
  </si>
  <si>
    <t>Marge</t>
  </si>
  <si>
    <t>Protection</t>
  </si>
  <si>
    <t>Facilité d’entretien</t>
  </si>
  <si>
    <t>Esthétique</t>
  </si>
  <si>
    <t>Composants</t>
  </si>
  <si>
    <t>Vantaux</t>
  </si>
  <si>
    <t>Ferrures</t>
  </si>
  <si>
    <t>Fermetures</t>
  </si>
  <si>
    <t>Revêtement</t>
  </si>
  <si>
    <t>Prix de vente</t>
  </si>
  <si>
    <t>Différence</t>
  </si>
  <si>
    <t>Coûts estimés</t>
  </si>
  <si>
    <t>Encre</t>
  </si>
  <si>
    <t>Pointe</t>
  </si>
  <si>
    <t>Réserve d'encre</t>
  </si>
  <si>
    <t>Barre rigide</t>
  </si>
  <si>
    <t>Corps</t>
  </si>
  <si>
    <t>Opercule</t>
  </si>
  <si>
    <t>Capuchon</t>
  </si>
  <si>
    <t>Mécanique</t>
  </si>
  <si>
    <t>Prévisions de vente</t>
  </si>
  <si>
    <t>N</t>
  </si>
  <si>
    <t>N+1</t>
  </si>
  <si>
    <t>N+2</t>
  </si>
  <si>
    <t>N+3</t>
  </si>
  <si>
    <t>P. vente</t>
  </si>
  <si>
    <t>Coût estimé des composants</t>
  </si>
  <si>
    <t xml:space="preserve">Marge </t>
  </si>
  <si>
    <t xml:space="preserve">PV Moyen </t>
  </si>
  <si>
    <t>En %</t>
  </si>
  <si>
    <t>Coût estimés</t>
  </si>
  <si>
    <t>Chiffre d'Affaires</t>
  </si>
  <si>
    <t>60€ - (40% * 60€)  =&gt; 36€</t>
  </si>
  <si>
    <t>Ecart en €</t>
  </si>
  <si>
    <t>Ecart en %</t>
  </si>
  <si>
    <t>Répartition du coût cible</t>
  </si>
  <si>
    <t>1ERE SOLUTION</t>
  </si>
  <si>
    <t>2EME SOLUTION</t>
  </si>
  <si>
    <t>Confort 60%</t>
  </si>
  <si>
    <t>Mécanique 40%</t>
  </si>
  <si>
    <t>COUT CIBLE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</si>
</sst>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Times New Roman"/>
      <family val="1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44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0" fontId="0" fillId="0" borderId="1" xfId="2" applyNumberFormat="1" applyFont="1" applyBorder="1"/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/>
    <xf numFmtId="0" fontId="0" fillId="2" borderId="0" xfId="0" applyFill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5" fillId="0" borderId="11" xfId="0" applyNumberFormat="1" applyFont="1" applyBorder="1" applyAlignment="1">
      <alignment horizontal="right" vertical="center" wrapText="1"/>
    </xf>
    <xf numFmtId="10" fontId="4" fillId="0" borderId="13" xfId="0" applyNumberFormat="1" applyFont="1" applyBorder="1" applyAlignment="1">
      <alignment horizontal="right" vertical="center" wrapText="1"/>
    </xf>
    <xf numFmtId="44" fontId="5" fillId="0" borderId="11" xfId="1" applyFont="1" applyBorder="1" applyAlignment="1">
      <alignment horizontal="right" vertical="center" wrapText="1"/>
    </xf>
    <xf numFmtId="44" fontId="5" fillId="0" borderId="14" xfId="1" applyFont="1" applyBorder="1" applyAlignment="1">
      <alignment horizontal="righ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0" fillId="0" borderId="0" xfId="0" applyNumberFormat="1"/>
    <xf numFmtId="0" fontId="0" fillId="0" borderId="1" xfId="0" applyFill="1" applyBorder="1" applyAlignment="1">
      <alignment horizontal="center"/>
    </xf>
    <xf numFmtId="164" fontId="0" fillId="0" borderId="1" xfId="0" applyNumberFormat="1" applyBorder="1"/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164" fontId="2" fillId="4" borderId="0" xfId="0" applyNumberFormat="1" applyFont="1" applyFill="1"/>
    <xf numFmtId="0" fontId="0" fillId="5" borderId="0" xfId="0" applyNumberFormat="1" applyFill="1"/>
    <xf numFmtId="9" fontId="0" fillId="0" borderId="0" xfId="0" applyNumberFormat="1"/>
    <xf numFmtId="164" fontId="2" fillId="6" borderId="0" xfId="0" applyNumberFormat="1" applyFont="1" applyFill="1"/>
    <xf numFmtId="44" fontId="0" fillId="4" borderId="1" xfId="0" applyNumberFormat="1" applyFill="1" applyBorder="1"/>
    <xf numFmtId="44" fontId="0" fillId="4" borderId="0" xfId="0" applyNumberFormat="1" applyFill="1"/>
    <xf numFmtId="0" fontId="2" fillId="0" borderId="6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6" fontId="0" fillId="0" borderId="3" xfId="0" applyNumberFormat="1" applyBorder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center" vertical="center" wrapText="1"/>
    </xf>
    <xf numFmtId="8" fontId="0" fillId="0" borderId="3" xfId="0" applyNumberFormat="1" applyBorder="1" applyAlignment="1">
      <alignment horizontal="right" vertical="center" wrapText="1"/>
    </xf>
    <xf numFmtId="8" fontId="0" fillId="0" borderId="17" xfId="0" applyNumberFormat="1" applyBorder="1" applyAlignment="1">
      <alignment horizontal="right" vertical="center" wrapText="1"/>
    </xf>
    <xf numFmtId="44" fontId="0" fillId="0" borderId="17" xfId="0" applyNumberFormat="1" applyBorder="1" applyAlignment="1">
      <alignment horizontal="center" vertical="center" wrapText="1"/>
    </xf>
    <xf numFmtId="44" fontId="2" fillId="0" borderId="1" xfId="0" applyNumberFormat="1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Border="1"/>
    <xf numFmtId="9" fontId="0" fillId="0" borderId="0" xfId="2" applyFont="1"/>
    <xf numFmtId="0" fontId="2" fillId="0" borderId="0" xfId="0" applyFont="1" applyFill="1" applyBorder="1" applyAlignment="1">
      <alignment horizontal="center" vertical="center" wrapText="1"/>
    </xf>
    <xf numFmtId="44" fontId="2" fillId="0" borderId="0" xfId="0" applyNumberFormat="1" applyFont="1" applyBorder="1"/>
    <xf numFmtId="0" fontId="0" fillId="0" borderId="17" xfId="0" applyBorder="1" applyAlignment="1">
      <alignment horizontal="center" vertical="center" wrapText="1"/>
    </xf>
    <xf numFmtId="44" fontId="2" fillId="0" borderId="17" xfId="0" applyNumberFormat="1" applyFont="1" applyBorder="1" applyAlignment="1">
      <alignment horizontal="center" vertical="center" wrapText="1"/>
    </xf>
    <xf numFmtId="44" fontId="2" fillId="4" borderId="1" xfId="0" applyNumberFormat="1" applyFont="1" applyFill="1" applyBorder="1"/>
    <xf numFmtId="44" fontId="2" fillId="0" borderId="0" xfId="0" applyNumberFormat="1" applyFont="1" applyFill="1" applyBorder="1"/>
    <xf numFmtId="8" fontId="2" fillId="3" borderId="18" xfId="0" applyNumberFormat="1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/>
    </xf>
    <xf numFmtId="8" fontId="2" fillId="2" borderId="0" xfId="0" applyNumberFormat="1" applyFont="1" applyFill="1" applyBorder="1" applyAlignment="1">
      <alignment horizontal="center" vertical="center" wrapText="1"/>
    </xf>
    <xf numFmtId="44" fontId="2" fillId="3" borderId="19" xfId="0" applyNumberFormat="1" applyFont="1" applyFill="1" applyBorder="1"/>
    <xf numFmtId="9" fontId="0" fillId="0" borderId="1" xfId="2" applyFont="1" applyBorder="1"/>
    <xf numFmtId="44" fontId="0" fillId="7" borderId="3" xfId="0" applyNumberFormat="1" applyFill="1" applyBorder="1" applyAlignment="1">
      <alignment horizontal="center" vertical="center" wrapText="1"/>
    </xf>
    <xf numFmtId="9" fontId="0" fillId="7" borderId="3" xfId="0" applyNumberFormat="1" applyFill="1" applyBorder="1" applyAlignment="1">
      <alignment horizontal="center" vertical="center" wrapText="1"/>
    </xf>
    <xf numFmtId="1" fontId="0" fillId="0" borderId="0" xfId="0" applyNumberFormat="1"/>
    <xf numFmtId="44" fontId="13" fillId="7" borderId="14" xfId="1" applyFont="1" applyFill="1" applyBorder="1" applyAlignment="1">
      <alignment horizontal="right" vertical="center" wrapText="1"/>
    </xf>
    <xf numFmtId="44" fontId="13" fillId="9" borderId="14" xfId="1" applyFont="1" applyFill="1" applyBorder="1" applyAlignment="1">
      <alignment horizontal="right" vertical="center" wrapText="1"/>
    </xf>
    <xf numFmtId="10" fontId="2" fillId="0" borderId="1" xfId="2" applyNumberFormat="1" applyFont="1" applyBorder="1"/>
    <xf numFmtId="10" fontId="14" fillId="0" borderId="1" xfId="2" applyNumberFormat="1" applyFont="1" applyBorder="1"/>
    <xf numFmtId="0" fontId="0" fillId="2" borderId="1" xfId="0" applyFill="1" applyBorder="1"/>
    <xf numFmtId="0" fontId="0" fillId="3" borderId="1" xfId="0" applyFill="1" applyBorder="1"/>
    <xf numFmtId="44" fontId="13" fillId="0" borderId="11" xfId="1" applyFont="1" applyBorder="1" applyAlignment="1">
      <alignment horizontal="right" vertical="center" wrapText="1"/>
    </xf>
    <xf numFmtId="44" fontId="13" fillId="0" borderId="14" xfId="1" applyFont="1" applyBorder="1" applyAlignment="1">
      <alignment horizontal="right" vertical="center" wrapText="1"/>
    </xf>
    <xf numFmtId="44" fontId="5" fillId="3" borderId="11" xfId="1" applyFont="1" applyFill="1" applyBorder="1" applyAlignment="1">
      <alignment horizontal="right" vertical="center" wrapText="1"/>
    </xf>
    <xf numFmtId="44" fontId="15" fillId="7" borderId="0" xfId="1" applyFont="1" applyFill="1"/>
    <xf numFmtId="0" fontId="0" fillId="0" borderId="0" xfId="0" quotePrefix="1"/>
    <xf numFmtId="10" fontId="16" fillId="4" borderId="3" xfId="0" applyNumberFormat="1" applyFont="1" applyFill="1" applyBorder="1" applyAlignment="1">
      <alignment horizontal="center" vertical="center" wrapText="1"/>
    </xf>
    <xf numFmtId="9" fontId="6" fillId="4" borderId="3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horizontal="right" vertical="center" wrapText="1"/>
    </xf>
    <xf numFmtId="10" fontId="8" fillId="8" borderId="13" xfId="0" applyNumberFormat="1" applyFont="1" applyFill="1" applyBorder="1" applyAlignment="1">
      <alignment horizontal="right" vertical="center" wrapText="1"/>
    </xf>
    <xf numFmtId="44" fontId="5" fillId="0" borderId="11" xfId="1" applyFont="1" applyFill="1" applyBorder="1" applyAlignment="1">
      <alignment horizontal="right" vertical="center" wrapText="1"/>
    </xf>
    <xf numFmtId="9" fontId="0" fillId="0" borderId="0" xfId="2" applyFont="1" applyFill="1"/>
    <xf numFmtId="44" fontId="0" fillId="4" borderId="1" xfId="1" applyFont="1" applyFill="1" applyBorder="1"/>
    <xf numFmtId="10" fontId="0" fillId="0" borderId="0" xfId="2" applyNumberFormat="1" applyFont="1"/>
    <xf numFmtId="44" fontId="2" fillId="4" borderId="0" xfId="0" applyNumberFormat="1" applyFont="1" applyFill="1"/>
    <xf numFmtId="0" fontId="2" fillId="0" borderId="1" xfId="0" applyFont="1" applyBorder="1" applyAlignment="1">
      <alignment wrapText="1"/>
    </xf>
    <xf numFmtId="44" fontId="2" fillId="10" borderId="0" xfId="0" applyNumberFormat="1" applyFont="1" applyFill="1"/>
    <xf numFmtId="44" fontId="2" fillId="10" borderId="1" xfId="0" applyNumberFormat="1" applyFont="1" applyFill="1" applyBorder="1"/>
    <xf numFmtId="0" fontId="0" fillId="0" borderId="0" xfId="0" applyFill="1"/>
    <xf numFmtId="44" fontId="0" fillId="0" borderId="0" xfId="0" applyNumberFormat="1" applyFill="1"/>
    <xf numFmtId="9" fontId="0" fillId="0" borderId="16" xfId="0" applyNumberFormat="1" applyBorder="1" applyAlignment="1">
      <alignment horizontal="center"/>
    </xf>
    <xf numFmtId="9" fontId="0" fillId="0" borderId="20" xfId="2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4" borderId="0" xfId="0" applyFill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14</xdr:row>
      <xdr:rowOff>12700</xdr:rowOff>
    </xdr:from>
    <xdr:to>
      <xdr:col>1</xdr:col>
      <xdr:colOff>694267</xdr:colOff>
      <xdr:row>23</xdr:row>
      <xdr:rowOff>93134</xdr:rowOff>
    </xdr:to>
    <xdr:cxnSp macro="">
      <xdr:nvCxnSpPr>
        <xdr:cNvPr id="3" name="Connecteur droit avec flèche 2"/>
        <xdr:cNvCxnSpPr/>
      </xdr:nvCxnSpPr>
      <xdr:spPr>
        <a:xfrm flipH="1">
          <a:off x="2082800" y="2561167"/>
          <a:ext cx="440267" cy="1892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660949</xdr:colOff>
      <xdr:row>17</xdr:row>
      <xdr:rowOff>149314</xdr:rowOff>
    </xdr:from>
    <xdr:to>
      <xdr:col>8</xdr:col>
      <xdr:colOff>477521</xdr:colOff>
      <xdr:row>26</xdr:row>
      <xdr:rowOff>86360</xdr:rowOff>
    </xdr:to>
    <xdr:pic>
      <xdr:nvPicPr>
        <xdr:cNvPr id="2" name="Image 1" descr="Résultat de recherche d'images pour &quot;ferrure de volets bois&quot;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91" t="8166" r="13970" b="6973"/>
        <a:stretch/>
      </xdr:blipFill>
      <xdr:spPr bwMode="auto">
        <a:xfrm>
          <a:off x="6274349" y="3563074"/>
          <a:ext cx="1244052" cy="164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853440</xdr:colOff>
      <xdr:row>10</xdr:row>
      <xdr:rowOff>152400</xdr:rowOff>
    </xdr:from>
    <xdr:to>
      <xdr:col>5</xdr:col>
      <xdr:colOff>633984</xdr:colOff>
      <xdr:row>14</xdr:row>
      <xdr:rowOff>24384</xdr:rowOff>
    </xdr:to>
    <xdr:cxnSp macro="">
      <xdr:nvCxnSpPr>
        <xdr:cNvPr id="4" name="Connecteur droit avec flèche 3"/>
        <xdr:cNvCxnSpPr/>
      </xdr:nvCxnSpPr>
      <xdr:spPr>
        <a:xfrm>
          <a:off x="2127504" y="2377440"/>
          <a:ext cx="3127248" cy="62788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7"/>
  <sheetViews>
    <sheetView showGridLines="0" tabSelected="1" topLeftCell="A41" zoomScale="180" zoomScaleNormal="180" workbookViewId="0">
      <selection activeCell="I48" sqref="I48"/>
    </sheetView>
  </sheetViews>
  <sheetFormatPr baseColWidth="10" defaultRowHeight="15" x14ac:dyDescent="0.25"/>
  <cols>
    <col min="1" max="1" width="26.7109375" customWidth="1"/>
    <col min="2" max="4" width="12.7109375" bestFit="1" customWidth="1"/>
    <col min="5" max="5" width="11.7109375" bestFit="1" customWidth="1"/>
    <col min="6" max="6" width="12.7109375" bestFit="1" customWidth="1"/>
  </cols>
  <sheetData>
    <row r="2" spans="1:8" x14ac:dyDescent="0.25">
      <c r="B2" s="56">
        <v>0.4</v>
      </c>
      <c r="C2" s="119">
        <v>0.25</v>
      </c>
      <c r="D2" s="119"/>
      <c r="E2" s="119"/>
    </row>
    <row r="3" spans="1:8" x14ac:dyDescent="0.25">
      <c r="A3" s="3" t="s">
        <v>8</v>
      </c>
      <c r="B3" s="3">
        <v>1</v>
      </c>
      <c r="C3" s="3">
        <v>2</v>
      </c>
      <c r="D3" s="3">
        <v>3</v>
      </c>
      <c r="E3" s="3">
        <v>4</v>
      </c>
    </row>
    <row r="4" spans="1:8" x14ac:dyDescent="0.25">
      <c r="A4" s="3" t="s">
        <v>6</v>
      </c>
      <c r="B4" s="11">
        <v>650</v>
      </c>
      <c r="C4" s="11">
        <v>530</v>
      </c>
      <c r="D4" s="11">
        <v>470</v>
      </c>
      <c r="E4" s="11">
        <v>320</v>
      </c>
    </row>
    <row r="5" spans="1:8" x14ac:dyDescent="0.25">
      <c r="A5" s="3" t="s">
        <v>7</v>
      </c>
      <c r="B5" s="3">
        <v>80000</v>
      </c>
      <c r="C5" s="3">
        <v>50000</v>
      </c>
      <c r="D5" s="3">
        <v>30000</v>
      </c>
      <c r="E5" s="3">
        <v>20000</v>
      </c>
      <c r="F5" s="55">
        <f>SUM(B5:E5)</f>
        <v>180000</v>
      </c>
      <c r="H5" s="1">
        <f>F6/F5</f>
        <v>550</v>
      </c>
    </row>
    <row r="6" spans="1:8" x14ac:dyDescent="0.25">
      <c r="A6" s="52" t="s">
        <v>57</v>
      </c>
      <c r="B6" s="53">
        <f>B4*B5</f>
        <v>52000000</v>
      </c>
      <c r="C6" s="53">
        <f t="shared" ref="C6:E6" si="0">C4*C5</f>
        <v>26500000</v>
      </c>
      <c r="D6" s="53">
        <f t="shared" si="0"/>
        <v>14100000</v>
      </c>
      <c r="E6" s="53">
        <f t="shared" si="0"/>
        <v>6400000</v>
      </c>
      <c r="F6" s="54">
        <f>SUM(B6:E6)</f>
        <v>99000000</v>
      </c>
      <c r="H6" s="1"/>
    </row>
    <row r="7" spans="1:8" x14ac:dyDescent="0.25">
      <c r="A7" s="50" t="s">
        <v>58</v>
      </c>
      <c r="B7" s="51">
        <f>B6*0.4</f>
        <v>20800000</v>
      </c>
      <c r="C7" s="51">
        <f>C6*0.25</f>
        <v>6625000</v>
      </c>
      <c r="D7" s="51">
        <f t="shared" ref="D7:E7" si="1">D6*0.25</f>
        <v>3525000</v>
      </c>
      <c r="E7" s="51">
        <f t="shared" si="1"/>
        <v>1600000</v>
      </c>
      <c r="F7" s="57">
        <f>SUM(B7:E7)</f>
        <v>32550000</v>
      </c>
      <c r="H7" s="1">
        <f>F7/F5</f>
        <v>180.83333333333334</v>
      </c>
    </row>
    <row r="9" spans="1:8" x14ac:dyDescent="0.25">
      <c r="F9" s="49"/>
    </row>
    <row r="12" spans="1:8" x14ac:dyDescent="0.25">
      <c r="A12" s="2" t="s">
        <v>16</v>
      </c>
      <c r="B12" s="9">
        <f>((B4*B5)+(C4*C5)+(D4*D5)+(E4*E5))/SUM(B5:E5)</f>
        <v>550</v>
      </c>
    </row>
    <row r="13" spans="1:8" x14ac:dyDescent="0.25">
      <c r="A13" s="2" t="s">
        <v>17</v>
      </c>
      <c r="B13" s="9">
        <f>((40%*B4*B5)+((C4*C5)+(D4*D5)+(E4*E5))*0.25)/SUM(B5:E5)</f>
        <v>180.83333333333334</v>
      </c>
    </row>
    <row r="14" spans="1:8" x14ac:dyDescent="0.25">
      <c r="A14" s="2" t="s">
        <v>18</v>
      </c>
      <c r="B14" s="58">
        <f>B12-B13</f>
        <v>369.16666666666663</v>
      </c>
    </row>
    <row r="17" spans="1:8" x14ac:dyDescent="0.25">
      <c r="A17" s="12" t="s">
        <v>1</v>
      </c>
      <c r="B17" s="3" t="s">
        <v>10</v>
      </c>
      <c r="C17" s="3" t="s">
        <v>11</v>
      </c>
      <c r="D17" s="3" t="s">
        <v>12</v>
      </c>
      <c r="E17" s="3" t="s">
        <v>13</v>
      </c>
      <c r="F17" s="3" t="s">
        <v>14</v>
      </c>
      <c r="G17" s="3" t="s">
        <v>15</v>
      </c>
    </row>
    <row r="18" spans="1:8" ht="13.9" customHeight="1" x14ac:dyDescent="0.25">
      <c r="A18" s="6" t="s">
        <v>9</v>
      </c>
      <c r="B18" s="4">
        <v>0.2</v>
      </c>
      <c r="C18" s="4">
        <v>0.18</v>
      </c>
      <c r="D18" s="4">
        <v>0.22</v>
      </c>
      <c r="E18" s="4">
        <v>0.08</v>
      </c>
      <c r="F18" s="4">
        <v>0.14000000000000001</v>
      </c>
      <c r="G18" s="4">
        <v>0.18</v>
      </c>
    </row>
    <row r="19" spans="1:8" hidden="1" x14ac:dyDescent="0.25">
      <c r="B19" s="13">
        <f t="shared" ref="B19:G19" si="2">B18*$B$14</f>
        <v>73.833333333333329</v>
      </c>
      <c r="C19" s="13">
        <f t="shared" si="2"/>
        <v>66.449999999999989</v>
      </c>
      <c r="D19" s="13">
        <f t="shared" si="2"/>
        <v>81.216666666666654</v>
      </c>
      <c r="E19" s="13">
        <f t="shared" si="2"/>
        <v>29.533333333333331</v>
      </c>
      <c r="F19" s="13">
        <f t="shared" si="2"/>
        <v>51.68333333333333</v>
      </c>
      <c r="G19" s="13">
        <f t="shared" si="2"/>
        <v>66.449999999999989</v>
      </c>
      <c r="H19" s="13">
        <f>SUM(B19:G19)</f>
        <v>369.16666666666657</v>
      </c>
    </row>
    <row r="23" spans="1:8" x14ac:dyDescent="0.25">
      <c r="A23" s="12" t="s">
        <v>1</v>
      </c>
      <c r="B23" s="3" t="s">
        <v>10</v>
      </c>
      <c r="C23" s="3" t="s">
        <v>11</v>
      </c>
      <c r="D23" s="3" t="s">
        <v>12</v>
      </c>
      <c r="E23" s="3" t="s">
        <v>13</v>
      </c>
      <c r="F23" s="3" t="s">
        <v>14</v>
      </c>
      <c r="G23" s="3" t="s">
        <v>15</v>
      </c>
    </row>
    <row r="24" spans="1:8" x14ac:dyDescent="0.25">
      <c r="A24" s="17" t="s">
        <v>18</v>
      </c>
      <c r="B24" s="13">
        <f>B19</f>
        <v>73.833333333333329</v>
      </c>
      <c r="C24" s="13">
        <f t="shared" ref="C24:G24" si="3">C19</f>
        <v>66.449999999999989</v>
      </c>
      <c r="D24" s="13">
        <f t="shared" si="3"/>
        <v>81.216666666666654</v>
      </c>
      <c r="E24" s="13">
        <f t="shared" si="3"/>
        <v>29.533333333333331</v>
      </c>
      <c r="F24" s="13">
        <f t="shared" si="3"/>
        <v>51.68333333333333</v>
      </c>
      <c r="G24" s="13">
        <f t="shared" si="3"/>
        <v>66.449999999999989</v>
      </c>
      <c r="H24" s="59">
        <f>SUM(B24:G24)</f>
        <v>369.16666666666657</v>
      </c>
    </row>
    <row r="25" spans="1:8" x14ac:dyDescent="0.25">
      <c r="A25" s="7" t="s">
        <v>5</v>
      </c>
      <c r="B25" s="10">
        <v>72</v>
      </c>
      <c r="C25" s="10">
        <v>70</v>
      </c>
      <c r="D25" s="10">
        <v>80</v>
      </c>
      <c r="E25" s="10">
        <v>32</v>
      </c>
      <c r="F25" s="10">
        <v>60</v>
      </c>
      <c r="G25" s="10">
        <v>66</v>
      </c>
      <c r="H25" s="13">
        <f>SUM(B25:G25)</f>
        <v>380</v>
      </c>
    </row>
    <row r="26" spans="1:8" x14ac:dyDescent="0.25">
      <c r="A26" s="7" t="s">
        <v>19</v>
      </c>
      <c r="B26" s="10">
        <f>B25-B24</f>
        <v>-1.8333333333333286</v>
      </c>
      <c r="C26" s="10">
        <f t="shared" ref="C26:G26" si="4">C25-C24</f>
        <v>3.5500000000000114</v>
      </c>
      <c r="D26" s="10">
        <f t="shared" si="4"/>
        <v>-1.2166666666666544</v>
      </c>
      <c r="E26" s="10">
        <f t="shared" si="4"/>
        <v>2.4666666666666686</v>
      </c>
      <c r="F26" s="10">
        <f t="shared" si="4"/>
        <v>8.31666666666667</v>
      </c>
      <c r="G26" s="10">
        <f t="shared" si="4"/>
        <v>-0.44999999999998863</v>
      </c>
    </row>
    <row r="27" spans="1:8" x14ac:dyDescent="0.25">
      <c r="B27" s="15"/>
      <c r="C27" s="16"/>
      <c r="D27" s="15"/>
      <c r="E27" s="16"/>
      <c r="F27" s="16"/>
      <c r="G27" s="15"/>
      <c r="H27" s="13">
        <f>H25-H24</f>
        <v>10.833333333333428</v>
      </c>
    </row>
    <row r="29" spans="1:8" x14ac:dyDescent="0.25">
      <c r="A29" s="3" t="s">
        <v>6</v>
      </c>
      <c r="B29" s="11">
        <v>630</v>
      </c>
      <c r="C29" s="11">
        <v>510</v>
      </c>
      <c r="D29" s="11">
        <v>450</v>
      </c>
      <c r="E29" s="11">
        <v>300</v>
      </c>
    </row>
    <row r="30" spans="1:8" x14ac:dyDescent="0.25">
      <c r="A30" s="3" t="s">
        <v>7</v>
      </c>
      <c r="B30" s="3">
        <v>80000</v>
      </c>
      <c r="C30" s="3">
        <v>50000</v>
      </c>
      <c r="D30" s="3">
        <v>30000</v>
      </c>
      <c r="E30" s="3">
        <v>20000</v>
      </c>
      <c r="F30" s="55">
        <f>SUM(B30:E30)</f>
        <v>180000</v>
      </c>
    </row>
    <row r="31" spans="1:8" x14ac:dyDescent="0.25">
      <c r="A31" s="52" t="s">
        <v>57</v>
      </c>
      <c r="B31" s="53">
        <f>B29*B30</f>
        <v>50400000</v>
      </c>
      <c r="C31" s="53">
        <f t="shared" ref="C31" si="5">C29*C30</f>
        <v>25500000</v>
      </c>
      <c r="D31" s="53">
        <f t="shared" ref="D31" si="6">D29*D30</f>
        <v>13500000</v>
      </c>
      <c r="E31" s="53">
        <f t="shared" ref="E31" si="7">E29*E30</f>
        <v>6000000</v>
      </c>
      <c r="F31" s="54">
        <f>SUM(B31:E31)</f>
        <v>95400000</v>
      </c>
    </row>
    <row r="32" spans="1:8" x14ac:dyDescent="0.25">
      <c r="A32" s="50" t="s">
        <v>58</v>
      </c>
      <c r="B32" s="51">
        <f>B31*0.4</f>
        <v>20160000</v>
      </c>
      <c r="C32" s="51">
        <f>C31*0.25</f>
        <v>6375000</v>
      </c>
      <c r="D32" s="51">
        <f t="shared" ref="D32" si="8">D31*0.25</f>
        <v>3375000</v>
      </c>
      <c r="E32" s="51">
        <f t="shared" ref="E32" si="9">E31*0.25</f>
        <v>1500000</v>
      </c>
      <c r="F32" s="57">
        <f>SUM(B32:E32)</f>
        <v>31410000</v>
      </c>
    </row>
    <row r="33" spans="1:8" x14ac:dyDescent="0.25">
      <c r="B33" s="78">
        <v>0.4</v>
      </c>
      <c r="C33" s="120">
        <v>0.25</v>
      </c>
      <c r="D33" s="120"/>
      <c r="E33" s="120"/>
    </row>
    <row r="36" spans="1:8" x14ac:dyDescent="0.25">
      <c r="A36" s="2" t="s">
        <v>16</v>
      </c>
      <c r="B36" s="111">
        <f>F31/F30</f>
        <v>530</v>
      </c>
    </row>
    <row r="37" spans="1:8" x14ac:dyDescent="0.25">
      <c r="A37" s="2" t="s">
        <v>17</v>
      </c>
      <c r="B37" s="9">
        <f>F32/F30</f>
        <v>174.5</v>
      </c>
    </row>
    <row r="38" spans="1:8" x14ac:dyDescent="0.25">
      <c r="A38" s="2" t="s">
        <v>18</v>
      </c>
      <c r="B38" s="14">
        <f>B36-B37</f>
        <v>355.5</v>
      </c>
    </row>
    <row r="41" spans="1:8" x14ac:dyDescent="0.25">
      <c r="A41" s="12" t="s">
        <v>1</v>
      </c>
      <c r="B41" s="3" t="s">
        <v>10</v>
      </c>
      <c r="C41" s="3" t="s">
        <v>11</v>
      </c>
      <c r="D41" s="3" t="s">
        <v>12</v>
      </c>
      <c r="E41" s="3" t="s">
        <v>13</v>
      </c>
      <c r="F41" s="3" t="s">
        <v>14</v>
      </c>
      <c r="G41" s="3" t="s">
        <v>15</v>
      </c>
    </row>
    <row r="42" spans="1:8" x14ac:dyDescent="0.25">
      <c r="A42" s="6" t="s">
        <v>9</v>
      </c>
      <c r="B42" s="4">
        <v>0.2</v>
      </c>
      <c r="C42" s="4">
        <v>0.18</v>
      </c>
      <c r="D42" s="4">
        <v>0.22</v>
      </c>
      <c r="E42" s="4">
        <v>0.08</v>
      </c>
      <c r="F42" s="4">
        <v>0.14000000000000001</v>
      </c>
      <c r="G42" s="4">
        <v>0.18</v>
      </c>
    </row>
    <row r="43" spans="1:8" x14ac:dyDescent="0.25">
      <c r="A43" s="2" t="s">
        <v>18</v>
      </c>
      <c r="B43" s="14">
        <f>$B$38*B42</f>
        <v>71.100000000000009</v>
      </c>
      <c r="C43" s="14">
        <f t="shared" ref="C43:G43" si="10">$B$38*C42</f>
        <v>63.989999999999995</v>
      </c>
      <c r="D43" s="14">
        <f t="shared" si="10"/>
        <v>78.209999999999994</v>
      </c>
      <c r="E43" s="14">
        <f t="shared" si="10"/>
        <v>28.44</v>
      </c>
      <c r="F43" s="14">
        <f t="shared" si="10"/>
        <v>49.77</v>
      </c>
      <c r="G43" s="14">
        <f t="shared" si="10"/>
        <v>63.989999999999995</v>
      </c>
      <c r="H43" s="113">
        <f>SUM(B43:G43)</f>
        <v>355.5</v>
      </c>
    </row>
    <row r="44" spans="1:8" x14ac:dyDescent="0.25">
      <c r="A44" s="2" t="s">
        <v>5</v>
      </c>
      <c r="B44" s="9">
        <v>72</v>
      </c>
      <c r="C44" s="9">
        <v>70</v>
      </c>
      <c r="D44" s="9">
        <v>80</v>
      </c>
      <c r="E44" s="9">
        <v>32</v>
      </c>
      <c r="F44" s="9">
        <v>38</v>
      </c>
      <c r="G44" s="9">
        <v>66</v>
      </c>
      <c r="H44" s="13">
        <f>SUM(B44:G44)</f>
        <v>358</v>
      </c>
    </row>
    <row r="45" spans="1:8" x14ac:dyDescent="0.25">
      <c r="B45" s="16"/>
      <c r="C45" s="16"/>
      <c r="D45" s="16"/>
      <c r="E45" s="16"/>
      <c r="F45" s="15"/>
      <c r="G45" s="16"/>
      <c r="H45" s="13"/>
    </row>
    <row r="46" spans="1:8" x14ac:dyDescent="0.25">
      <c r="A46" t="s">
        <v>91</v>
      </c>
      <c r="B46" s="13">
        <f>B44-B43</f>
        <v>0.89999999999999147</v>
      </c>
      <c r="C46" s="13">
        <f t="shared" ref="C46:H46" si="11">C44-C43</f>
        <v>6.0100000000000051</v>
      </c>
      <c r="D46" s="13">
        <f t="shared" si="11"/>
        <v>1.7900000000000063</v>
      </c>
      <c r="E46" s="13">
        <f t="shared" si="11"/>
        <v>3.5599999999999987</v>
      </c>
      <c r="F46" s="13">
        <f t="shared" si="11"/>
        <v>-11.770000000000003</v>
      </c>
      <c r="G46" s="13">
        <f t="shared" si="11"/>
        <v>2.0100000000000051</v>
      </c>
      <c r="H46" s="13">
        <f t="shared" si="11"/>
        <v>2.5</v>
      </c>
    </row>
    <row r="47" spans="1:8" x14ac:dyDescent="0.25">
      <c r="A47" t="s">
        <v>92</v>
      </c>
      <c r="B47" s="112">
        <f>B46/B44</f>
        <v>1.2499999999999881E-2</v>
      </c>
      <c r="C47" s="112">
        <f t="shared" ref="C47:G47" si="12">C46/C44</f>
        <v>8.5857142857142923E-2</v>
      </c>
      <c r="D47" s="112">
        <f t="shared" si="12"/>
        <v>2.2375000000000079E-2</v>
      </c>
      <c r="E47" s="112">
        <f t="shared" si="12"/>
        <v>0.11124999999999996</v>
      </c>
      <c r="F47" s="112">
        <f t="shared" si="12"/>
        <v>-0.30973684210526325</v>
      </c>
      <c r="G47" s="112">
        <f t="shared" si="12"/>
        <v>3.0454545454545533E-2</v>
      </c>
    </row>
  </sheetData>
  <mergeCells count="2">
    <mergeCell ref="C2:E2"/>
    <mergeCell ref="C33:E3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showGridLines="0" topLeftCell="A5" zoomScale="125" zoomScaleNormal="125" workbookViewId="0">
      <selection activeCell="B24" sqref="B24"/>
    </sheetView>
  </sheetViews>
  <sheetFormatPr baseColWidth="10" defaultRowHeight="15" x14ac:dyDescent="0.25"/>
  <cols>
    <col min="1" max="1" width="18.5703125" bestFit="1" customWidth="1"/>
    <col min="2" max="2" width="14.140625" customWidth="1"/>
    <col min="6" max="6" width="11.5703125" customWidth="1"/>
    <col min="7" max="7" width="2.85546875" customWidth="1"/>
    <col min="8" max="8" width="20.7109375" customWidth="1"/>
  </cols>
  <sheetData>
    <row r="2" spans="1:12" x14ac:dyDescent="0.25">
      <c r="A2" s="2" t="s">
        <v>67</v>
      </c>
      <c r="B2" s="9">
        <v>220</v>
      </c>
    </row>
    <row r="3" spans="1:12" x14ac:dyDescent="0.25">
      <c r="A3" s="2" t="s">
        <v>17</v>
      </c>
      <c r="B3" s="9">
        <f>+B2*0.15</f>
        <v>33</v>
      </c>
    </row>
    <row r="4" spans="1:12" x14ac:dyDescent="0.25">
      <c r="A4" s="6" t="s">
        <v>18</v>
      </c>
      <c r="B4" s="83">
        <f>+B2-B3-20</f>
        <v>167</v>
      </c>
    </row>
    <row r="6" spans="1:12" ht="30.75" thickBot="1" x14ac:dyDescent="0.3">
      <c r="A6" s="114" t="s">
        <v>84</v>
      </c>
      <c r="B6" s="77">
        <f>105+48+12+15</f>
        <v>180</v>
      </c>
    </row>
    <row r="7" spans="1:12" ht="30.75" thickBot="1" x14ac:dyDescent="0.3">
      <c r="H7" s="64" t="s">
        <v>62</v>
      </c>
      <c r="I7" s="61" t="s">
        <v>63</v>
      </c>
      <c r="J7" s="61" t="s">
        <v>64</v>
      </c>
      <c r="K7" s="61" t="s">
        <v>65</v>
      </c>
      <c r="L7" s="61" t="s">
        <v>66</v>
      </c>
    </row>
    <row r="8" spans="1:12" ht="15.75" thickBot="1" x14ac:dyDescent="0.3">
      <c r="A8" s="6" t="s">
        <v>68</v>
      </c>
      <c r="B8" s="74">
        <f>B6-B4</f>
        <v>13</v>
      </c>
      <c r="H8" s="66" t="s">
        <v>69</v>
      </c>
      <c r="I8" s="67">
        <v>105</v>
      </c>
      <c r="J8" s="67">
        <v>48</v>
      </c>
      <c r="K8" s="67">
        <v>12</v>
      </c>
      <c r="L8" s="67">
        <v>15</v>
      </c>
    </row>
    <row r="9" spans="1:12" ht="15.75" thickBot="1" x14ac:dyDescent="0.3"/>
    <row r="10" spans="1:12" ht="30.75" thickBot="1" x14ac:dyDescent="0.3">
      <c r="A10" s="60" t="s">
        <v>1</v>
      </c>
      <c r="B10" s="61" t="s">
        <v>59</v>
      </c>
      <c r="C10" s="61" t="s">
        <v>60</v>
      </c>
      <c r="D10" s="61" t="s">
        <v>61</v>
      </c>
    </row>
    <row r="11" spans="1:12" ht="15.75" thickBot="1" x14ac:dyDescent="0.3">
      <c r="A11" s="62" t="s">
        <v>18</v>
      </c>
      <c r="B11" s="90">
        <f>167*70%</f>
        <v>116.89999999999999</v>
      </c>
      <c r="C11" s="68">
        <f>B4*0.2</f>
        <v>33.4</v>
      </c>
      <c r="D11" s="68">
        <f>B4*0.1</f>
        <v>16.7</v>
      </c>
      <c r="E11" s="59">
        <f>SUM(B11:D11)</f>
        <v>166.99999999999997</v>
      </c>
    </row>
    <row r="12" spans="1:12" ht="30.75" thickBot="1" x14ac:dyDescent="0.3">
      <c r="H12" s="64" t="s">
        <v>62</v>
      </c>
      <c r="I12" s="61" t="s">
        <v>63</v>
      </c>
      <c r="J12" s="61" t="s">
        <v>64</v>
      </c>
      <c r="K12" s="61" t="s">
        <v>65</v>
      </c>
      <c r="L12" s="61" t="s">
        <v>66</v>
      </c>
    </row>
    <row r="13" spans="1:12" ht="15.75" thickBot="1" x14ac:dyDescent="0.3">
      <c r="H13" s="66" t="s">
        <v>59</v>
      </c>
      <c r="I13" s="91">
        <v>0.8</v>
      </c>
      <c r="J13" s="91">
        <v>0.2</v>
      </c>
      <c r="K13" s="63"/>
      <c r="L13" s="63"/>
    </row>
    <row r="14" spans="1:12" ht="30.75" thickBot="1" x14ac:dyDescent="0.3">
      <c r="A14" s="64" t="s">
        <v>62</v>
      </c>
      <c r="B14" s="65" t="s">
        <v>63</v>
      </c>
      <c r="C14" s="65" t="s">
        <v>64</v>
      </c>
      <c r="D14" s="65" t="s">
        <v>65</v>
      </c>
      <c r="E14" s="75" t="s">
        <v>66</v>
      </c>
      <c r="F14" s="2"/>
      <c r="H14" s="66" t="s">
        <v>60</v>
      </c>
      <c r="I14" s="69">
        <v>0.1</v>
      </c>
      <c r="J14" s="69">
        <v>0.2</v>
      </c>
      <c r="K14" s="69">
        <v>0.2</v>
      </c>
      <c r="L14" s="69">
        <v>0.5</v>
      </c>
    </row>
    <row r="15" spans="1:12" ht="15.75" thickBot="1" x14ac:dyDescent="0.3">
      <c r="A15" s="66" t="s">
        <v>59</v>
      </c>
      <c r="B15" s="90">
        <f>116.9*80%</f>
        <v>93.52000000000001</v>
      </c>
      <c r="C15" s="90">
        <f>B11*0.2</f>
        <v>23.38</v>
      </c>
      <c r="D15" s="63"/>
      <c r="E15" s="81"/>
      <c r="F15" s="14">
        <f>SUM(B15:E15)</f>
        <v>116.9</v>
      </c>
      <c r="G15" s="13"/>
      <c r="H15" s="66" t="s">
        <v>61</v>
      </c>
      <c r="I15" s="69">
        <v>0.4</v>
      </c>
      <c r="J15" s="69">
        <v>0.3</v>
      </c>
      <c r="K15" s="69">
        <v>0.3</v>
      </c>
      <c r="L15" s="63"/>
    </row>
    <row r="16" spans="1:12" ht="15.75" thickBot="1" x14ac:dyDescent="0.3">
      <c r="A16" s="66" t="s">
        <v>60</v>
      </c>
      <c r="B16" s="68">
        <f>$C$11*I14</f>
        <v>3.34</v>
      </c>
      <c r="C16" s="68">
        <f t="shared" ref="C16:E16" si="0">$C$11*J14</f>
        <v>6.68</v>
      </c>
      <c r="D16" s="68">
        <f t="shared" si="0"/>
        <v>6.68</v>
      </c>
      <c r="E16" s="73">
        <f t="shared" si="0"/>
        <v>16.7</v>
      </c>
      <c r="F16" s="14">
        <f t="shared" ref="F16:F17" si="1">SUM(B16:E16)</f>
        <v>33.4</v>
      </c>
      <c r="G16" s="13"/>
    </row>
    <row r="17" spans="1:7" ht="15.75" thickBot="1" x14ac:dyDescent="0.3">
      <c r="A17" s="66" t="s">
        <v>61</v>
      </c>
      <c r="B17" s="68">
        <f>$D$11*I15</f>
        <v>6.68</v>
      </c>
      <c r="C17" s="68">
        <f t="shared" ref="C17:E17" si="2">$D$11*J15</f>
        <v>5.01</v>
      </c>
      <c r="D17" s="68">
        <f t="shared" si="2"/>
        <v>5.01</v>
      </c>
      <c r="E17" s="73">
        <f t="shared" si="2"/>
        <v>0</v>
      </c>
      <c r="F17" s="14">
        <f t="shared" si="1"/>
        <v>16.7</v>
      </c>
      <c r="G17" s="13"/>
    </row>
    <row r="18" spans="1:7" ht="15.75" thickBot="1" x14ac:dyDescent="0.3">
      <c r="A18" s="66" t="s">
        <v>2</v>
      </c>
      <c r="B18" s="70">
        <f>SUM(B15:B17)</f>
        <v>103.54000000000002</v>
      </c>
      <c r="C18" s="70">
        <f t="shared" ref="C18:E18" si="3">SUM(C15:C17)</f>
        <v>35.07</v>
      </c>
      <c r="D18" s="70">
        <f t="shared" si="3"/>
        <v>11.69</v>
      </c>
      <c r="E18" s="82">
        <f t="shared" si="3"/>
        <v>16.7</v>
      </c>
      <c r="F18" s="83">
        <f>SUM(B18:E18)</f>
        <v>167</v>
      </c>
      <c r="G18" s="13"/>
    </row>
    <row r="20" spans="1:7" ht="15.75" thickBot="1" x14ac:dyDescent="0.3"/>
    <row r="21" spans="1:7" ht="30.75" thickBot="1" x14ac:dyDescent="0.3">
      <c r="A21" s="64" t="s">
        <v>62</v>
      </c>
      <c r="B21" s="65" t="s">
        <v>63</v>
      </c>
      <c r="C21" s="65" t="s">
        <v>64</v>
      </c>
      <c r="D21" s="65" t="s">
        <v>65</v>
      </c>
      <c r="E21" s="75" t="s">
        <v>66</v>
      </c>
      <c r="F21" s="76" t="s">
        <v>2</v>
      </c>
      <c r="G21" s="79"/>
    </row>
    <row r="22" spans="1:7" ht="15.75" thickBot="1" x14ac:dyDescent="0.3">
      <c r="A22" s="66" t="s">
        <v>5</v>
      </c>
      <c r="B22" s="71">
        <f>I8</f>
        <v>105</v>
      </c>
      <c r="C22" s="71">
        <f>J8</f>
        <v>48</v>
      </c>
      <c r="D22" s="71">
        <f>K8</f>
        <v>12</v>
      </c>
      <c r="E22" s="72">
        <f>L8</f>
        <v>15</v>
      </c>
      <c r="F22" s="74">
        <f>SUM(B22:E22)</f>
        <v>180</v>
      </c>
      <c r="G22" s="80"/>
    </row>
    <row r="23" spans="1:7" ht="15.75" thickBot="1" x14ac:dyDescent="0.3">
      <c r="A23" s="66" t="s">
        <v>18</v>
      </c>
      <c r="B23" s="68">
        <f>B18</f>
        <v>103.54000000000002</v>
      </c>
      <c r="C23" s="68">
        <f>C18</f>
        <v>35.07</v>
      </c>
      <c r="D23" s="68">
        <f>D18</f>
        <v>11.69</v>
      </c>
      <c r="E23" s="73">
        <f>E18</f>
        <v>16.7</v>
      </c>
      <c r="F23" s="74">
        <f>SUM(B23:E23)</f>
        <v>167</v>
      </c>
      <c r="G23" s="80"/>
    </row>
    <row r="24" spans="1:7" ht="15.75" thickBot="1" x14ac:dyDescent="0.3">
      <c r="A24" s="66" t="s">
        <v>4</v>
      </c>
      <c r="B24" s="85">
        <f>B22-B23</f>
        <v>1.4599999999999795</v>
      </c>
      <c r="C24" s="85">
        <f t="shared" ref="C24:E24" si="4">C22-C23</f>
        <v>12.93</v>
      </c>
      <c r="D24" s="85">
        <f t="shared" si="4"/>
        <v>0.3100000000000005</v>
      </c>
      <c r="E24" s="87">
        <f t="shared" si="4"/>
        <v>-1.6999999999999993</v>
      </c>
      <c r="F24" s="88">
        <f>F22-F23</f>
        <v>13</v>
      </c>
      <c r="G24" s="84"/>
    </row>
    <row r="25" spans="1:7" x14ac:dyDescent="0.25">
      <c r="B25" s="89">
        <f>B24/B22</f>
        <v>1.390476190476171E-2</v>
      </c>
      <c r="C25" s="86">
        <f t="shared" ref="C25:F25" si="5">C24/C22</f>
        <v>0.26937499999999998</v>
      </c>
      <c r="D25" s="89">
        <f t="shared" si="5"/>
        <v>2.5833333333333375E-2</v>
      </c>
      <c r="E25" s="89">
        <f t="shared" si="5"/>
        <v>-0.11333333333333329</v>
      </c>
      <c r="F25" s="89">
        <f t="shared" si="5"/>
        <v>7.2222222222222215E-2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35"/>
  <sheetViews>
    <sheetView showGridLines="0" topLeftCell="G1" zoomScale="150" zoomScaleNormal="150" workbookViewId="0">
      <selection activeCell="L14" sqref="L14"/>
    </sheetView>
  </sheetViews>
  <sheetFormatPr baseColWidth="10" defaultRowHeight="15" x14ac:dyDescent="0.25"/>
  <cols>
    <col min="3" max="3" width="18.85546875" customWidth="1"/>
    <col min="4" max="4" width="17.28515625" customWidth="1"/>
    <col min="9" max="12" width="8.5703125" customWidth="1"/>
    <col min="13" max="13" width="13.28515625" bestFit="1" customWidth="1"/>
    <col min="14" max="15" width="8.5703125" customWidth="1"/>
    <col min="16" max="16" width="10.28515625" customWidth="1"/>
    <col min="17" max="17" width="9.5703125" customWidth="1"/>
    <col min="18" max="18" width="10.28515625" customWidth="1"/>
  </cols>
  <sheetData>
    <row r="2" spans="2:19" ht="23.25" x14ac:dyDescent="0.35">
      <c r="L2" s="102" t="s">
        <v>3</v>
      </c>
      <c r="M2" s="102">
        <f>60-60*0.4</f>
        <v>36</v>
      </c>
      <c r="N2" s="103" t="s">
        <v>90</v>
      </c>
    </row>
    <row r="3" spans="2:19" ht="15.75" thickBot="1" x14ac:dyDescent="0.3"/>
    <row r="4" spans="2:19" ht="26.25" thickBot="1" x14ac:dyDescent="0.3">
      <c r="B4" s="19"/>
      <c r="C4" s="39" t="s">
        <v>46</v>
      </c>
      <c r="D4" s="125" t="s">
        <v>48</v>
      </c>
      <c r="E4" s="41" t="s">
        <v>49</v>
      </c>
      <c r="H4" s="123" t="s">
        <v>32</v>
      </c>
      <c r="I4" s="124"/>
      <c r="J4" s="124"/>
      <c r="K4" s="124"/>
      <c r="L4" s="124"/>
      <c r="M4" s="124"/>
      <c r="N4" s="124"/>
      <c r="O4" s="24" t="s">
        <v>33</v>
      </c>
      <c r="P4" s="24" t="s">
        <v>18</v>
      </c>
      <c r="Q4" s="24" t="s">
        <v>5</v>
      </c>
      <c r="R4" s="24" t="s">
        <v>4</v>
      </c>
    </row>
    <row r="5" spans="2:19" ht="16.5" thickBot="1" x14ac:dyDescent="0.3">
      <c r="B5" s="19"/>
      <c r="C5" s="40" t="s">
        <v>47</v>
      </c>
      <c r="D5" s="126"/>
      <c r="E5" s="42" t="s">
        <v>50</v>
      </c>
      <c r="H5" s="25"/>
      <c r="I5" s="18" t="s">
        <v>34</v>
      </c>
      <c r="J5" s="18" t="s">
        <v>35</v>
      </c>
      <c r="K5" s="18" t="s">
        <v>36</v>
      </c>
      <c r="L5" s="18" t="s">
        <v>37</v>
      </c>
      <c r="M5" s="18" t="s">
        <v>38</v>
      </c>
      <c r="N5" s="18" t="s">
        <v>39</v>
      </c>
      <c r="O5" s="26"/>
      <c r="P5" s="26"/>
      <c r="Q5" s="26"/>
      <c r="R5" s="26"/>
    </row>
    <row r="6" spans="2:19" ht="16.5" thickBot="1" x14ac:dyDescent="0.3">
      <c r="B6" s="19"/>
      <c r="C6" s="44" t="s">
        <v>40</v>
      </c>
      <c r="D6" s="45" t="s">
        <v>51</v>
      </c>
      <c r="E6" s="46">
        <v>12</v>
      </c>
      <c r="H6" s="25" t="s">
        <v>40</v>
      </c>
      <c r="I6" s="104">
        <f>14.29%*80%</f>
        <v>0.11432</v>
      </c>
      <c r="J6" s="34"/>
      <c r="K6" s="34">
        <f>O18*F$16</f>
        <v>0.17142857142857143</v>
      </c>
      <c r="L6" s="34">
        <f>O19*G$16</f>
        <v>4.2857142857142851E-2</v>
      </c>
      <c r="M6" s="34">
        <f>O20*H$16</f>
        <v>0</v>
      </c>
      <c r="N6" s="34"/>
      <c r="O6" s="35">
        <f>SUM(I6:N6)</f>
        <v>0.32860571428571433</v>
      </c>
      <c r="P6" s="101">
        <f>36*32.86%</f>
        <v>11.829599999999999</v>
      </c>
      <c r="Q6" s="37">
        <f t="shared" ref="Q6:Q11" si="0">E6</f>
        <v>12</v>
      </c>
      <c r="R6" s="99">
        <f>Q6-P6</f>
        <v>0.17040000000000077</v>
      </c>
      <c r="S6" s="78">
        <f>R6/Q6</f>
        <v>1.4200000000000065E-2</v>
      </c>
    </row>
    <row r="7" spans="2:19" ht="16.5" thickBot="1" x14ac:dyDescent="0.3">
      <c r="B7" s="19"/>
      <c r="C7" s="44" t="s">
        <v>41</v>
      </c>
      <c r="D7" s="45" t="s">
        <v>52</v>
      </c>
      <c r="E7" s="46">
        <v>10</v>
      </c>
      <c r="H7" s="25" t="s">
        <v>41</v>
      </c>
      <c r="I7" s="34">
        <f>O16*$D17</f>
        <v>2.8571428571428571E-2</v>
      </c>
      <c r="J7" s="34">
        <f>$O17*$E17</f>
        <v>8.3333333333333329E-2</v>
      </c>
      <c r="K7" s="34">
        <f>$O$18*$F17</f>
        <v>1.9047619047619049E-2</v>
      </c>
      <c r="L7" s="34">
        <f>$O$19*$G17</f>
        <v>5.7142857142857141E-2</v>
      </c>
      <c r="M7" s="34"/>
      <c r="N7" s="34">
        <f>O$21*I17</f>
        <v>7.1428571428571425E-2</v>
      </c>
      <c r="O7" s="35">
        <f t="shared" ref="O7:O11" si="1">SUM(I7:N7)</f>
        <v>0.25952380952380949</v>
      </c>
      <c r="P7" s="101">
        <f>$M$2*O7</f>
        <v>9.3428571428571416</v>
      </c>
      <c r="Q7" s="37">
        <f t="shared" si="0"/>
        <v>10</v>
      </c>
      <c r="R7" s="99">
        <f t="shared" ref="R7:R11" si="2">Q7-P7</f>
        <v>0.65714285714285836</v>
      </c>
      <c r="S7" s="78">
        <f t="shared" ref="S7:S11" si="3">R7/Q7</f>
        <v>6.5714285714285836E-2</v>
      </c>
    </row>
    <row r="8" spans="2:19" ht="16.5" thickBot="1" x14ac:dyDescent="0.3">
      <c r="B8" s="19"/>
      <c r="C8" s="44" t="s">
        <v>42</v>
      </c>
      <c r="D8" s="45" t="s">
        <v>53</v>
      </c>
      <c r="E8" s="46">
        <v>8</v>
      </c>
      <c r="H8" s="25" t="s">
        <v>42</v>
      </c>
      <c r="I8" s="34"/>
      <c r="J8" s="34">
        <f>E18*O17</f>
        <v>4.9999999999999996E-2</v>
      </c>
      <c r="K8" s="34"/>
      <c r="L8" s="34"/>
      <c r="M8" s="34">
        <f>$O$20*$H18</f>
        <v>0.10714285714285714</v>
      </c>
      <c r="N8" s="34"/>
      <c r="O8" s="35">
        <f t="shared" si="1"/>
        <v>0.15714285714285714</v>
      </c>
      <c r="P8" s="101">
        <f>$M$2*O8</f>
        <v>5.6571428571428566</v>
      </c>
      <c r="Q8" s="37">
        <f t="shared" si="0"/>
        <v>8</v>
      </c>
      <c r="R8" s="99">
        <f t="shared" si="2"/>
        <v>2.3428571428571434</v>
      </c>
      <c r="S8" s="78">
        <f>2.34/Q8</f>
        <v>0.29249999999999998</v>
      </c>
    </row>
    <row r="9" spans="2:19" ht="16.5" thickBot="1" x14ac:dyDescent="0.3">
      <c r="B9" s="19"/>
      <c r="C9" s="44" t="s">
        <v>43</v>
      </c>
      <c r="D9" s="45" t="s">
        <v>54</v>
      </c>
      <c r="E9" s="46">
        <v>2</v>
      </c>
      <c r="H9" s="25" t="s">
        <v>43</v>
      </c>
      <c r="I9" s="34"/>
      <c r="J9" s="34"/>
      <c r="K9" s="34"/>
      <c r="L9" s="34"/>
      <c r="M9" s="34">
        <f>O20*H19</f>
        <v>6.4285714285714279E-2</v>
      </c>
      <c r="N9" s="34"/>
      <c r="O9" s="35">
        <f t="shared" si="1"/>
        <v>6.4285714285714279E-2</v>
      </c>
      <c r="P9" s="109">
        <f>$M$2*O9</f>
        <v>2.3142857142857141</v>
      </c>
      <c r="Q9" s="37">
        <f t="shared" si="0"/>
        <v>2</v>
      </c>
      <c r="R9" s="99">
        <f t="shared" si="2"/>
        <v>-0.31428571428571406</v>
      </c>
      <c r="S9" s="110">
        <f t="shared" si="3"/>
        <v>-0.15714285714285703</v>
      </c>
    </row>
    <row r="10" spans="2:19" ht="16.5" thickBot="1" x14ac:dyDescent="0.3">
      <c r="B10" s="19"/>
      <c r="C10" s="44" t="s">
        <v>44</v>
      </c>
      <c r="D10" s="45" t="s">
        <v>55</v>
      </c>
      <c r="E10" s="46">
        <v>2</v>
      </c>
      <c r="H10" s="25" t="s">
        <v>44</v>
      </c>
      <c r="I10" s="34"/>
      <c r="J10" s="34"/>
      <c r="K10" s="34"/>
      <c r="L10" s="34"/>
      <c r="M10" s="34">
        <f>$O$20*$H20</f>
        <v>4.2857142857142858E-2</v>
      </c>
      <c r="N10" s="34"/>
      <c r="O10" s="35">
        <f t="shared" si="1"/>
        <v>4.2857142857142858E-2</v>
      </c>
      <c r="P10" s="101">
        <f>$M$2*O10</f>
        <v>1.5428571428571429</v>
      </c>
      <c r="Q10" s="37">
        <f t="shared" si="0"/>
        <v>2</v>
      </c>
      <c r="R10" s="99">
        <f t="shared" si="2"/>
        <v>0.45714285714285707</v>
      </c>
      <c r="S10" s="110">
        <f t="shared" si="3"/>
        <v>0.22857142857142854</v>
      </c>
    </row>
    <row r="11" spans="2:19" ht="16.5" thickBot="1" x14ac:dyDescent="0.3">
      <c r="C11" s="44" t="s">
        <v>45</v>
      </c>
      <c r="D11" s="45" t="s">
        <v>56</v>
      </c>
      <c r="E11" s="46">
        <v>4</v>
      </c>
      <c r="H11" s="25" t="s">
        <v>45</v>
      </c>
      <c r="I11" s="34"/>
      <c r="J11" s="34">
        <f>O17*$E21</f>
        <v>3.3333333333333333E-2</v>
      </c>
      <c r="K11" s="34"/>
      <c r="L11" s="34">
        <f>$O$19*$G21</f>
        <v>4.2857142857142851E-2</v>
      </c>
      <c r="M11" s="34"/>
      <c r="N11" s="34">
        <f>O$21*I21</f>
        <v>7.1428571428571425E-2</v>
      </c>
      <c r="O11" s="35">
        <f t="shared" si="1"/>
        <v>0.14761904761904759</v>
      </c>
      <c r="P11" s="109">
        <f>$M$2*O11</f>
        <v>5.3142857142857132</v>
      </c>
      <c r="Q11" s="37">
        <f t="shared" si="0"/>
        <v>4</v>
      </c>
      <c r="R11" s="99">
        <f t="shared" si="2"/>
        <v>-1.3142857142857132</v>
      </c>
      <c r="S11" s="110">
        <f t="shared" si="3"/>
        <v>-0.32857142857142829</v>
      </c>
    </row>
    <row r="12" spans="2:19" ht="15.75" thickBot="1" x14ac:dyDescent="0.3">
      <c r="C12" s="47"/>
      <c r="D12" s="48"/>
      <c r="E12" s="46">
        <f>SUM(E6:E11)</f>
        <v>38</v>
      </c>
      <c r="H12" s="27"/>
      <c r="I12" s="36">
        <f>SUM(I6:I11)</f>
        <v>0.14289142857142859</v>
      </c>
      <c r="J12" s="36">
        <f t="shared" ref="J12:O12" si="4">SUM(J6:J11)</f>
        <v>0.16666666666666666</v>
      </c>
      <c r="K12" s="36">
        <f t="shared" si="4"/>
        <v>0.19047619047619047</v>
      </c>
      <c r="L12" s="36">
        <f t="shared" si="4"/>
        <v>0.14285714285714285</v>
      </c>
      <c r="M12" s="36">
        <f t="shared" si="4"/>
        <v>0.2142857142857143</v>
      </c>
      <c r="N12" s="36">
        <f t="shared" si="4"/>
        <v>0.14285714285714285</v>
      </c>
      <c r="O12" s="108">
        <f t="shared" si="4"/>
        <v>1.0000342857142857</v>
      </c>
      <c r="P12" s="93">
        <f>SUM(P6:P11)</f>
        <v>36.00102857142857</v>
      </c>
      <c r="Q12" s="94">
        <f t="shared" ref="Q12:R12" si="5">SUM(Q6:Q11)</f>
        <v>38</v>
      </c>
      <c r="R12" s="100">
        <f t="shared" si="5"/>
        <v>1.9989714285714326</v>
      </c>
    </row>
    <row r="13" spans="2:19" x14ac:dyDescent="0.25">
      <c r="I13" s="1"/>
    </row>
    <row r="14" spans="2:19" ht="15.75" thickBot="1" x14ac:dyDescent="0.3"/>
    <row r="15" spans="2:19" ht="15.75" thickBot="1" x14ac:dyDescent="0.3">
      <c r="C15" s="28"/>
      <c r="D15" s="29" t="s">
        <v>20</v>
      </c>
      <c r="E15" s="29" t="s">
        <v>22</v>
      </c>
      <c r="F15" s="29" t="s">
        <v>24</v>
      </c>
      <c r="G15" s="29" t="s">
        <v>26</v>
      </c>
      <c r="H15" s="29" t="s">
        <v>28</v>
      </c>
      <c r="I15" s="29" t="s">
        <v>30</v>
      </c>
      <c r="N15" s="43"/>
    </row>
    <row r="16" spans="2:19" ht="30.75" thickBot="1" x14ac:dyDescent="0.3">
      <c r="C16" s="30" t="s">
        <v>40</v>
      </c>
      <c r="D16" s="105">
        <v>0.8</v>
      </c>
      <c r="E16" s="32"/>
      <c r="F16" s="31">
        <v>0.9</v>
      </c>
      <c r="G16" s="31">
        <v>0.3</v>
      </c>
      <c r="H16" s="32"/>
      <c r="I16" s="32"/>
      <c r="L16" s="20" t="s">
        <v>20</v>
      </c>
      <c r="M16" s="20" t="s">
        <v>21</v>
      </c>
      <c r="N16" s="21">
        <v>6</v>
      </c>
      <c r="O16" s="106">
        <f>N16/$N$22</f>
        <v>0.14285714285714285</v>
      </c>
    </row>
    <row r="17" spans="3:15" ht="44.45" customHeight="1" thickBot="1" x14ac:dyDescent="0.3">
      <c r="C17" s="30" t="s">
        <v>41</v>
      </c>
      <c r="D17" s="31">
        <v>0.2</v>
      </c>
      <c r="E17" s="31">
        <v>0.5</v>
      </c>
      <c r="F17" s="31">
        <v>0.1</v>
      </c>
      <c r="G17" s="31">
        <v>0.4</v>
      </c>
      <c r="H17" s="31"/>
      <c r="I17" s="31">
        <v>0.5</v>
      </c>
      <c r="L17" s="20" t="s">
        <v>22</v>
      </c>
      <c r="M17" s="20" t="s">
        <v>23</v>
      </c>
      <c r="N17" s="21">
        <v>7</v>
      </c>
      <c r="O17" s="107">
        <f t="shared" ref="O17:O20" si="6">N17/$N$22</f>
        <v>0.16666666666666666</v>
      </c>
    </row>
    <row r="18" spans="3:15" ht="30.75" thickBot="1" x14ac:dyDescent="0.3">
      <c r="C18" s="30" t="s">
        <v>42</v>
      </c>
      <c r="D18" s="32"/>
      <c r="E18" s="31">
        <v>0.3</v>
      </c>
      <c r="F18" s="32"/>
      <c r="G18" s="32"/>
      <c r="H18" s="31">
        <v>0.5</v>
      </c>
      <c r="I18" s="32"/>
      <c r="L18" s="20" t="s">
        <v>24</v>
      </c>
      <c r="M18" s="20" t="s">
        <v>25</v>
      </c>
      <c r="N18" s="21">
        <v>8</v>
      </c>
      <c r="O18" s="107">
        <f t="shared" si="6"/>
        <v>0.19047619047619047</v>
      </c>
    </row>
    <row r="19" spans="3:15" ht="15.75" thickBot="1" x14ac:dyDescent="0.3">
      <c r="C19" s="30" t="s">
        <v>43</v>
      </c>
      <c r="D19" s="32"/>
      <c r="E19" s="31"/>
      <c r="F19" s="32"/>
      <c r="G19" s="32"/>
      <c r="H19" s="31">
        <v>0.3</v>
      </c>
      <c r="I19" s="32"/>
      <c r="L19" s="20" t="s">
        <v>26</v>
      </c>
      <c r="M19" s="20" t="s">
        <v>27</v>
      </c>
      <c r="N19" s="21">
        <v>6</v>
      </c>
      <c r="O19" s="107">
        <f t="shared" si="6"/>
        <v>0.14285714285714285</v>
      </c>
    </row>
    <row r="20" spans="3:15" ht="30.75" thickBot="1" x14ac:dyDescent="0.3">
      <c r="C20" s="30" t="s">
        <v>44</v>
      </c>
      <c r="D20" s="32"/>
      <c r="E20" s="32"/>
      <c r="F20" s="32"/>
      <c r="G20" s="32"/>
      <c r="H20" s="31">
        <v>0.2</v>
      </c>
      <c r="I20" s="32"/>
      <c r="L20" s="20" t="s">
        <v>28</v>
      </c>
      <c r="M20" s="20" t="s">
        <v>29</v>
      </c>
      <c r="N20" s="21">
        <v>9</v>
      </c>
      <c r="O20" s="107">
        <f t="shared" si="6"/>
        <v>0.21428571428571427</v>
      </c>
    </row>
    <row r="21" spans="3:15" ht="15.75" thickBot="1" x14ac:dyDescent="0.3">
      <c r="C21" s="30" t="s">
        <v>45</v>
      </c>
      <c r="D21" s="32"/>
      <c r="E21" s="31">
        <v>0.2</v>
      </c>
      <c r="F21" s="32"/>
      <c r="G21" s="31">
        <v>0.3</v>
      </c>
      <c r="H21" s="31"/>
      <c r="I21" s="31">
        <v>0.5</v>
      </c>
      <c r="L21" s="20" t="s">
        <v>30</v>
      </c>
      <c r="M21" s="20" t="s">
        <v>31</v>
      </c>
      <c r="N21" s="21">
        <v>6</v>
      </c>
      <c r="O21" s="107">
        <f>N21/$N$22</f>
        <v>0.14285714285714285</v>
      </c>
    </row>
    <row r="22" spans="3:15" ht="15.75" thickBot="1" x14ac:dyDescent="0.3">
      <c r="C22" s="33"/>
      <c r="D22" s="31">
        <f>SUM(D16:D21)</f>
        <v>1</v>
      </c>
      <c r="E22" s="31">
        <f t="shared" ref="E22:I22" si="7">SUM(E16:E21)</f>
        <v>1</v>
      </c>
      <c r="F22" s="31">
        <f t="shared" si="7"/>
        <v>1</v>
      </c>
      <c r="G22" s="31">
        <f t="shared" si="7"/>
        <v>1</v>
      </c>
      <c r="H22" s="31">
        <f t="shared" si="7"/>
        <v>1</v>
      </c>
      <c r="I22" s="31">
        <f t="shared" si="7"/>
        <v>1</v>
      </c>
      <c r="L22" s="121" t="s">
        <v>2</v>
      </c>
      <c r="M22" s="122"/>
      <c r="N22" s="22">
        <f>SUM(N16:N21)</f>
        <v>42</v>
      </c>
      <c r="O22" s="23">
        <f>SUM(O16:O21)</f>
        <v>1</v>
      </c>
    </row>
    <row r="23" spans="3:15" x14ac:dyDescent="0.25">
      <c r="N23" s="43"/>
    </row>
    <row r="26" spans="3:15" ht="15.75" thickBot="1" x14ac:dyDescent="0.3"/>
    <row r="27" spans="3:15" ht="26.25" thickBot="1" x14ac:dyDescent="0.3">
      <c r="D27" s="123" t="s">
        <v>32</v>
      </c>
      <c r="E27" s="124"/>
      <c r="F27" s="124"/>
      <c r="G27" s="124"/>
      <c r="H27" s="124"/>
      <c r="I27" s="124"/>
      <c r="J27" s="124"/>
      <c r="K27" s="24" t="s">
        <v>33</v>
      </c>
      <c r="L27" s="24" t="s">
        <v>18</v>
      </c>
      <c r="M27" s="24" t="s">
        <v>5</v>
      </c>
      <c r="N27" s="24" t="s">
        <v>4</v>
      </c>
    </row>
    <row r="28" spans="3:15" ht="16.5" thickBot="1" x14ac:dyDescent="0.3">
      <c r="D28" s="25"/>
      <c r="E28" s="18" t="s">
        <v>34</v>
      </c>
      <c r="F28" s="18" t="s">
        <v>35</v>
      </c>
      <c r="G28" s="18" t="s">
        <v>36</v>
      </c>
      <c r="H28" s="18" t="s">
        <v>37</v>
      </c>
      <c r="I28" s="18" t="s">
        <v>38</v>
      </c>
      <c r="J28" s="18" t="s">
        <v>39</v>
      </c>
      <c r="K28" s="26"/>
      <c r="L28" s="26"/>
      <c r="M28" s="26"/>
      <c r="N28" s="26"/>
    </row>
    <row r="29" spans="3:15" ht="16.5" thickBot="1" x14ac:dyDescent="0.3">
      <c r="D29" s="25" t="s">
        <v>40</v>
      </c>
      <c r="E29" s="34" t="e">
        <f>$F27*#REF!</f>
        <v>#REF!</v>
      </c>
      <c r="F29" s="34"/>
      <c r="G29" s="34">
        <f>B29*B$16</f>
        <v>0</v>
      </c>
      <c r="H29" s="34" t="e">
        <f>B30*C$16</f>
        <v>#VALUE!</v>
      </c>
      <c r="I29" s="34">
        <f>B31*D$16</f>
        <v>0</v>
      </c>
      <c r="J29" s="34"/>
      <c r="K29" s="35" t="e">
        <f>SUM(E29:J29)</f>
        <v>#REF!</v>
      </c>
      <c r="L29" s="37" t="e">
        <f t="shared" ref="L29:L34" si="8">$M$2*K29</f>
        <v>#REF!</v>
      </c>
      <c r="M29" s="37">
        <f>I40</f>
        <v>0</v>
      </c>
      <c r="N29" s="37" t="e">
        <f>M29-L29</f>
        <v>#REF!</v>
      </c>
    </row>
    <row r="30" spans="3:15" ht="16.5" thickBot="1" x14ac:dyDescent="0.3">
      <c r="D30" s="25" t="s">
        <v>41</v>
      </c>
      <c r="E30" s="34">
        <f>B27*$D40</f>
        <v>0</v>
      </c>
      <c r="F30" s="34" t="e">
        <f>$F28*$E40</f>
        <v>#VALUE!</v>
      </c>
      <c r="G30" s="34">
        <f>$O$18*$F40</f>
        <v>0</v>
      </c>
      <c r="H30" s="34">
        <f>$O$19*$G40</f>
        <v>0</v>
      </c>
      <c r="I30" s="34"/>
      <c r="J30" s="34">
        <f>B$9*E40</f>
        <v>0</v>
      </c>
      <c r="K30" s="35" t="e">
        <f t="shared" ref="K30:K34" si="9">SUM(E30:J30)</f>
        <v>#VALUE!</v>
      </c>
      <c r="L30" s="37" t="e">
        <f t="shared" si="8"/>
        <v>#VALUE!</v>
      </c>
      <c r="M30" s="37">
        <f t="shared" ref="M30:M34" si="10">I41</f>
        <v>0</v>
      </c>
      <c r="N30" s="37" t="e">
        <f t="shared" ref="N30:N34" si="11">M30-L30</f>
        <v>#VALUE!</v>
      </c>
    </row>
    <row r="31" spans="3:15" ht="16.5" thickBot="1" x14ac:dyDescent="0.3">
      <c r="D31" s="25" t="s">
        <v>42</v>
      </c>
      <c r="E31" s="34"/>
      <c r="F31" s="34">
        <f>A41*B28</f>
        <v>0</v>
      </c>
      <c r="G31" s="34"/>
      <c r="H31" s="34"/>
      <c r="I31" s="34">
        <f>$O$20*$H41</f>
        <v>0</v>
      </c>
      <c r="J31" s="34"/>
      <c r="K31" s="35">
        <f t="shared" si="9"/>
        <v>0</v>
      </c>
      <c r="L31" s="37">
        <f t="shared" si="8"/>
        <v>0</v>
      </c>
      <c r="M31" s="37">
        <f t="shared" si="10"/>
        <v>0</v>
      </c>
      <c r="N31" s="37">
        <f t="shared" si="11"/>
        <v>0</v>
      </c>
    </row>
    <row r="32" spans="3:15" ht="16.5" thickBot="1" x14ac:dyDescent="0.3">
      <c r="D32" s="25" t="s">
        <v>43</v>
      </c>
      <c r="E32" s="34"/>
      <c r="F32" s="34"/>
      <c r="G32" s="34"/>
      <c r="H32" s="34"/>
      <c r="I32" s="34">
        <f>B31*D42</f>
        <v>0</v>
      </c>
      <c r="J32" s="34"/>
      <c r="K32" s="35">
        <f t="shared" si="9"/>
        <v>0</v>
      </c>
      <c r="L32" s="37">
        <f t="shared" si="8"/>
        <v>0</v>
      </c>
      <c r="M32" s="37">
        <f t="shared" si="10"/>
        <v>0</v>
      </c>
      <c r="N32" s="37">
        <f t="shared" si="11"/>
        <v>0</v>
      </c>
    </row>
    <row r="33" spans="4:14" ht="16.5" thickBot="1" x14ac:dyDescent="0.3">
      <c r="D33" s="25" t="s">
        <v>44</v>
      </c>
      <c r="E33" s="34"/>
      <c r="F33" s="34"/>
      <c r="G33" s="34"/>
      <c r="H33" s="34"/>
      <c r="I33" s="34">
        <f>$O$20*$H43</f>
        <v>0</v>
      </c>
      <c r="J33" s="34"/>
      <c r="K33" s="35">
        <f t="shared" si="9"/>
        <v>0</v>
      </c>
      <c r="L33" s="37">
        <f t="shared" si="8"/>
        <v>0</v>
      </c>
      <c r="M33" s="37">
        <f t="shared" si="10"/>
        <v>0</v>
      </c>
      <c r="N33" s="37">
        <f t="shared" si="11"/>
        <v>0</v>
      </c>
    </row>
    <row r="34" spans="4:14" ht="16.5" thickBot="1" x14ac:dyDescent="0.3">
      <c r="D34" s="25" t="s">
        <v>45</v>
      </c>
      <c r="E34" s="34"/>
      <c r="F34" s="34">
        <f>B28*$E44</f>
        <v>0</v>
      </c>
      <c r="G34" s="34"/>
      <c r="H34" s="34">
        <f>$O$19*$G44</f>
        <v>0</v>
      </c>
      <c r="I34" s="34"/>
      <c r="J34" s="34">
        <f t="shared" ref="J34" si="12">B$9*E44</f>
        <v>0</v>
      </c>
      <c r="K34" s="35">
        <f t="shared" si="9"/>
        <v>0</v>
      </c>
      <c r="L34" s="37">
        <f t="shared" si="8"/>
        <v>0</v>
      </c>
      <c r="M34" s="37">
        <f t="shared" si="10"/>
        <v>0</v>
      </c>
      <c r="N34" s="37">
        <f t="shared" si="11"/>
        <v>0</v>
      </c>
    </row>
    <row r="35" spans="4:14" ht="15.75" thickBot="1" x14ac:dyDescent="0.3">
      <c r="D35" s="27"/>
      <c r="E35" s="36" t="e">
        <f>SUM(E29:E34)</f>
        <v>#REF!</v>
      </c>
      <c r="F35" s="36" t="e">
        <f t="shared" ref="F35:K35" si="13">SUM(F29:F34)</f>
        <v>#VALUE!</v>
      </c>
      <c r="G35" s="36">
        <f t="shared" si="13"/>
        <v>0</v>
      </c>
      <c r="H35" s="36" t="e">
        <f t="shared" si="13"/>
        <v>#VALUE!</v>
      </c>
      <c r="I35" s="36">
        <f t="shared" si="13"/>
        <v>0</v>
      </c>
      <c r="J35" s="36">
        <f t="shared" si="13"/>
        <v>0</v>
      </c>
      <c r="K35" s="36" t="e">
        <f t="shared" si="13"/>
        <v>#REF!</v>
      </c>
      <c r="L35" s="38" t="e">
        <f>SUM(L29:L34)</f>
        <v>#REF!</v>
      </c>
      <c r="M35" s="38">
        <f t="shared" ref="M35:N35" si="14">SUM(M29:M34)</f>
        <v>0</v>
      </c>
      <c r="N35" s="38" t="e">
        <f t="shared" si="14"/>
        <v>#REF!</v>
      </c>
    </row>
  </sheetData>
  <mergeCells count="4">
    <mergeCell ref="L22:M22"/>
    <mergeCell ref="H4:N4"/>
    <mergeCell ref="D4:D5"/>
    <mergeCell ref="D27:J2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opLeftCell="A9" zoomScale="130" zoomScaleNormal="130" workbookViewId="0">
      <selection activeCell="A9" sqref="A1:XFD1048576"/>
    </sheetView>
  </sheetViews>
  <sheetFormatPr baseColWidth="10" defaultRowHeight="15" x14ac:dyDescent="0.25"/>
  <cols>
    <col min="1" max="1" width="17.42578125" customWidth="1"/>
    <col min="2" max="5" width="16.28515625" bestFit="1" customWidth="1"/>
    <col min="6" max="6" width="17.5703125" customWidth="1"/>
    <col min="7" max="7" width="12.7109375" bestFit="1" customWidth="1"/>
  </cols>
  <sheetData>
    <row r="1" spans="1:10" x14ac:dyDescent="0.25">
      <c r="A1" s="2" t="s">
        <v>78</v>
      </c>
      <c r="B1" s="3" t="s">
        <v>79</v>
      </c>
      <c r="C1" s="3" t="s">
        <v>80</v>
      </c>
      <c r="D1" s="3" t="s">
        <v>81</v>
      </c>
      <c r="E1" s="3" t="s">
        <v>82</v>
      </c>
    </row>
    <row r="2" spans="1:10" x14ac:dyDescent="0.25">
      <c r="A2" s="2" t="s">
        <v>7</v>
      </c>
      <c r="B2" s="2">
        <v>800000</v>
      </c>
      <c r="C2" s="2">
        <v>1250000</v>
      </c>
      <c r="D2" s="2">
        <v>1400000</v>
      </c>
      <c r="E2" s="2">
        <v>900000</v>
      </c>
      <c r="F2" s="92">
        <f>SUM(B2:E2)</f>
        <v>4350000</v>
      </c>
    </row>
    <row r="3" spans="1:10" x14ac:dyDescent="0.25">
      <c r="A3" s="2" t="s">
        <v>83</v>
      </c>
      <c r="B3" s="5">
        <v>19</v>
      </c>
      <c r="C3" s="5">
        <v>16</v>
      </c>
      <c r="D3" s="5">
        <v>15</v>
      </c>
      <c r="E3" s="5">
        <v>15</v>
      </c>
      <c r="F3" s="49"/>
    </row>
    <row r="4" spans="1:10" x14ac:dyDescent="0.25">
      <c r="A4" s="2" t="s">
        <v>89</v>
      </c>
      <c r="B4" s="5">
        <f>B2*B3</f>
        <v>15200000</v>
      </c>
      <c r="C4" s="5">
        <f t="shared" ref="C4:E4" si="0">C2*C3</f>
        <v>20000000</v>
      </c>
      <c r="D4" s="5">
        <f t="shared" si="0"/>
        <v>21000000</v>
      </c>
      <c r="E4" s="5">
        <f t="shared" si="0"/>
        <v>13500000</v>
      </c>
      <c r="F4" s="49">
        <f>SUM(B4:E4)</f>
        <v>69700000</v>
      </c>
    </row>
    <row r="6" spans="1:10" x14ac:dyDescent="0.25">
      <c r="A6" s="2" t="s">
        <v>85</v>
      </c>
      <c r="B6" s="9">
        <v>4.8</v>
      </c>
    </row>
    <row r="7" spans="1:10" x14ac:dyDescent="0.25">
      <c r="A7" s="14" t="s">
        <v>86</v>
      </c>
      <c r="B7" s="9">
        <v>16.02</v>
      </c>
    </row>
    <row r="8" spans="1:10" x14ac:dyDescent="0.25">
      <c r="A8" s="2" t="s">
        <v>18</v>
      </c>
      <c r="B8" s="14">
        <f>B7-B6</f>
        <v>11.219999999999999</v>
      </c>
    </row>
    <row r="10" spans="1:10" x14ac:dyDescent="0.25">
      <c r="A10" s="127" t="s">
        <v>94</v>
      </c>
      <c r="B10" s="127"/>
      <c r="C10" s="127"/>
      <c r="D10" s="127"/>
      <c r="E10" s="127"/>
      <c r="F10" s="127"/>
      <c r="G10" s="127"/>
      <c r="H10" s="127"/>
      <c r="I10" s="127"/>
      <c r="J10" s="127"/>
    </row>
    <row r="11" spans="1:10" x14ac:dyDescent="0.25">
      <c r="A11" t="s">
        <v>93</v>
      </c>
      <c r="D11">
        <v>11.22</v>
      </c>
    </row>
    <row r="12" spans="1:10" x14ac:dyDescent="0.25">
      <c r="A12" t="s">
        <v>97</v>
      </c>
      <c r="B12" s="13">
        <f>B8*0.4</f>
        <v>4.4879999999999995</v>
      </c>
    </row>
    <row r="13" spans="1:10" x14ac:dyDescent="0.25">
      <c r="A13" t="s">
        <v>96</v>
      </c>
      <c r="B13" s="13">
        <f>B8*0.6</f>
        <v>6.7319999999999993</v>
      </c>
    </row>
    <row r="14" spans="1:10" x14ac:dyDescent="0.25">
      <c r="B14" s="13"/>
    </row>
    <row r="15" spans="1:10" x14ac:dyDescent="0.25">
      <c r="B15" s="2" t="s">
        <v>48</v>
      </c>
      <c r="C15" s="2" t="s">
        <v>70</v>
      </c>
      <c r="D15" s="2" t="s">
        <v>71</v>
      </c>
      <c r="E15" s="2" t="s">
        <v>72</v>
      </c>
      <c r="F15" s="2" t="s">
        <v>73</v>
      </c>
      <c r="G15" s="2" t="s">
        <v>74</v>
      </c>
      <c r="H15" s="2" t="s">
        <v>75</v>
      </c>
      <c r="I15" s="2" t="s">
        <v>76</v>
      </c>
      <c r="J15" s="2"/>
    </row>
    <row r="16" spans="1:10" x14ac:dyDescent="0.25">
      <c r="B16" s="2" t="s">
        <v>77</v>
      </c>
      <c r="C16" s="8">
        <v>0.25</v>
      </c>
      <c r="D16" s="8">
        <v>0.2</v>
      </c>
      <c r="E16" s="8">
        <v>0.1</v>
      </c>
      <c r="F16" s="8">
        <v>7.0000000000000007E-2</v>
      </c>
      <c r="G16" s="8">
        <v>0.22</v>
      </c>
      <c r="H16" s="8">
        <v>0.01</v>
      </c>
      <c r="I16" s="8">
        <v>0.15</v>
      </c>
      <c r="J16" s="8">
        <f t="shared" ref="J16:J17" si="1">SUM(C16:I16)</f>
        <v>1</v>
      </c>
    </row>
    <row r="17" spans="1:10" x14ac:dyDescent="0.25">
      <c r="B17" s="2" t="s">
        <v>0</v>
      </c>
      <c r="C17" s="8">
        <v>0.2</v>
      </c>
      <c r="D17" s="8">
        <v>0.15</v>
      </c>
      <c r="E17" s="8">
        <v>0.05</v>
      </c>
      <c r="F17" s="8">
        <v>7.0000000000000007E-2</v>
      </c>
      <c r="G17" s="8">
        <v>0.37</v>
      </c>
      <c r="H17" s="8">
        <v>0.01</v>
      </c>
      <c r="I17" s="8">
        <v>0.15</v>
      </c>
      <c r="J17" s="8">
        <f t="shared" si="1"/>
        <v>1</v>
      </c>
    </row>
    <row r="18" spans="1:10" x14ac:dyDescent="0.25">
      <c r="B18" s="13"/>
    </row>
    <row r="19" spans="1:10" x14ac:dyDescent="0.25">
      <c r="B19" s="2" t="s">
        <v>48</v>
      </c>
      <c r="C19" s="2" t="s">
        <v>70</v>
      </c>
      <c r="D19" s="2" t="s">
        <v>71</v>
      </c>
      <c r="E19" s="2" t="s">
        <v>72</v>
      </c>
      <c r="F19" s="2" t="s">
        <v>73</v>
      </c>
      <c r="G19" s="2" t="s">
        <v>74</v>
      </c>
      <c r="H19" s="2" t="s">
        <v>75</v>
      </c>
      <c r="I19" s="2" t="s">
        <v>76</v>
      </c>
      <c r="J19" s="2"/>
    </row>
    <row r="20" spans="1:10" x14ac:dyDescent="0.25">
      <c r="B20" s="2" t="s">
        <v>77</v>
      </c>
      <c r="C20" s="9">
        <f>C16*$B$12</f>
        <v>1.1219999999999999</v>
      </c>
      <c r="D20" s="9">
        <f t="shared" ref="D20:I20" si="2">D16*$B$12</f>
        <v>0.89759999999999995</v>
      </c>
      <c r="E20" s="9">
        <f t="shared" si="2"/>
        <v>0.44879999999999998</v>
      </c>
      <c r="F20" s="9">
        <f t="shared" si="2"/>
        <v>0.31415999999999999</v>
      </c>
      <c r="G20" s="9">
        <f t="shared" si="2"/>
        <v>0.9873599999999999</v>
      </c>
      <c r="H20" s="9">
        <f t="shared" si="2"/>
        <v>4.4879999999999996E-2</v>
      </c>
      <c r="I20" s="9">
        <f t="shared" si="2"/>
        <v>0.67319999999999991</v>
      </c>
      <c r="J20" s="9">
        <f t="shared" ref="J20:J21" si="3">SUM(C20:I20)</f>
        <v>4.4879999999999987</v>
      </c>
    </row>
    <row r="21" spans="1:10" x14ac:dyDescent="0.25">
      <c r="B21" s="2" t="s">
        <v>0</v>
      </c>
      <c r="C21" s="9">
        <f>$B$13*C17</f>
        <v>1.3464</v>
      </c>
      <c r="D21" s="9">
        <f t="shared" ref="D21:I21" si="4">$B$13*D17</f>
        <v>1.0097999999999998</v>
      </c>
      <c r="E21" s="9">
        <f t="shared" si="4"/>
        <v>0.33660000000000001</v>
      </c>
      <c r="F21" s="9">
        <f t="shared" si="4"/>
        <v>0.47123999999999999</v>
      </c>
      <c r="G21" s="9">
        <f t="shared" si="4"/>
        <v>2.4908399999999995</v>
      </c>
      <c r="H21" s="9">
        <f t="shared" si="4"/>
        <v>6.7319999999999991E-2</v>
      </c>
      <c r="I21" s="9">
        <f t="shared" si="4"/>
        <v>1.0097999999999998</v>
      </c>
      <c r="J21" s="9">
        <f t="shared" si="3"/>
        <v>6.7319999999999993</v>
      </c>
    </row>
    <row r="22" spans="1:10" x14ac:dyDescent="0.25">
      <c r="B22" s="13" t="s">
        <v>98</v>
      </c>
      <c r="C22" s="116">
        <f>+C20+C21</f>
        <v>2.4683999999999999</v>
      </c>
      <c r="D22" s="116">
        <f t="shared" ref="D22:J22" si="5">+D20+D21</f>
        <v>1.9073999999999998</v>
      </c>
      <c r="E22" s="116">
        <f t="shared" si="5"/>
        <v>0.78539999999999999</v>
      </c>
      <c r="F22" s="116">
        <f t="shared" si="5"/>
        <v>0.78539999999999999</v>
      </c>
      <c r="G22" s="116">
        <f t="shared" si="5"/>
        <v>3.4781999999999993</v>
      </c>
      <c r="H22" s="116">
        <f t="shared" si="5"/>
        <v>0.11219999999999999</v>
      </c>
      <c r="I22" s="116">
        <f t="shared" si="5"/>
        <v>1.6829999999999998</v>
      </c>
      <c r="J22" s="116">
        <f t="shared" si="5"/>
        <v>11.219999999999999</v>
      </c>
    </row>
    <row r="23" spans="1:10" s="117" customFormat="1" x14ac:dyDescent="0.25">
      <c r="B23" s="118"/>
      <c r="C23" s="84"/>
      <c r="D23" s="84"/>
      <c r="E23" s="84"/>
      <c r="F23" s="84"/>
      <c r="G23" s="84"/>
      <c r="H23" s="84"/>
      <c r="I23" s="84"/>
      <c r="J23" s="84"/>
    </row>
    <row r="24" spans="1:10" x14ac:dyDescent="0.25">
      <c r="A24" s="127" t="s">
        <v>95</v>
      </c>
      <c r="B24" s="127"/>
      <c r="C24" s="127"/>
      <c r="D24" s="127"/>
      <c r="E24" s="127"/>
      <c r="F24" s="127"/>
      <c r="G24" s="127"/>
      <c r="H24" s="127"/>
      <c r="I24" s="127"/>
      <c r="J24" s="127"/>
    </row>
    <row r="25" spans="1:10" x14ac:dyDescent="0.25">
      <c r="B25" s="2" t="s">
        <v>48</v>
      </c>
      <c r="C25" s="2" t="s">
        <v>70</v>
      </c>
      <c r="D25" s="2" t="s">
        <v>71</v>
      </c>
      <c r="E25" s="2" t="s">
        <v>72</v>
      </c>
      <c r="F25" s="2" t="s">
        <v>73</v>
      </c>
      <c r="G25" s="2" t="s">
        <v>74</v>
      </c>
      <c r="H25" s="2" t="s">
        <v>75</v>
      </c>
      <c r="I25" s="2" t="s">
        <v>76</v>
      </c>
      <c r="J25" s="2"/>
    </row>
    <row r="26" spans="1:10" x14ac:dyDescent="0.25">
      <c r="A26" s="56">
        <v>0.4</v>
      </c>
      <c r="B26" s="2" t="s">
        <v>77</v>
      </c>
      <c r="C26" s="8">
        <v>0.25</v>
      </c>
      <c r="D26" s="8">
        <v>0.2</v>
      </c>
      <c r="E26" s="8">
        <v>0.1</v>
      </c>
      <c r="F26" s="8">
        <v>7.0000000000000007E-2</v>
      </c>
      <c r="G26" s="8">
        <v>0.22</v>
      </c>
      <c r="H26" s="8">
        <v>0.01</v>
      </c>
      <c r="I26" s="8">
        <v>0.15</v>
      </c>
      <c r="J26" s="8">
        <f t="shared" ref="J26:J27" si="6">SUM(C26:I26)</f>
        <v>1</v>
      </c>
    </row>
    <row r="27" spans="1:10" x14ac:dyDescent="0.25">
      <c r="A27" s="56">
        <v>0.6</v>
      </c>
      <c r="B27" s="2" t="s">
        <v>0</v>
      </c>
      <c r="C27" s="8">
        <v>0.2</v>
      </c>
      <c r="D27" s="8">
        <v>0.15</v>
      </c>
      <c r="E27" s="8">
        <v>0.05</v>
      </c>
      <c r="F27" s="8">
        <v>7.0000000000000007E-2</v>
      </c>
      <c r="G27" s="8">
        <v>0.37</v>
      </c>
      <c r="H27" s="8">
        <v>0.01</v>
      </c>
      <c r="I27" s="8">
        <v>0.15</v>
      </c>
      <c r="J27" s="8">
        <f t="shared" si="6"/>
        <v>1</v>
      </c>
    </row>
    <row r="29" spans="1:10" x14ac:dyDescent="0.25">
      <c r="B29" s="6" t="s">
        <v>87</v>
      </c>
      <c r="C29" s="95">
        <f>(25%*40%)+(20%*60%)</f>
        <v>0.22</v>
      </c>
      <c r="D29" s="96">
        <f t="shared" ref="D29:I29" si="7">(D26*$A$26)+(D27*$A$27)</f>
        <v>0.17</v>
      </c>
      <c r="E29" s="96">
        <f t="shared" si="7"/>
        <v>7.0000000000000007E-2</v>
      </c>
      <c r="F29" s="96">
        <f t="shared" si="7"/>
        <v>7.0000000000000007E-2</v>
      </c>
      <c r="G29" s="96">
        <f t="shared" si="7"/>
        <v>0.31</v>
      </c>
      <c r="H29" s="96">
        <f t="shared" si="7"/>
        <v>0.01</v>
      </c>
      <c r="I29" s="96">
        <f t="shared" si="7"/>
        <v>0.15</v>
      </c>
      <c r="J29" s="96">
        <f>SUM(C29:I29)</f>
        <v>1</v>
      </c>
    </row>
    <row r="30" spans="1:10" x14ac:dyDescent="0.25">
      <c r="B30" t="s">
        <v>98</v>
      </c>
      <c r="C30" s="115">
        <f>11.22*22%</f>
        <v>2.4684000000000004</v>
      </c>
      <c r="D30" s="115">
        <f t="shared" ref="D30:I30" si="8">11.22*D29</f>
        <v>1.9074000000000002</v>
      </c>
      <c r="E30" s="115">
        <f t="shared" si="8"/>
        <v>0.7854000000000001</v>
      </c>
      <c r="F30" s="115">
        <f t="shared" si="8"/>
        <v>0.7854000000000001</v>
      </c>
      <c r="G30" s="115">
        <f t="shared" si="8"/>
        <v>3.4782000000000002</v>
      </c>
      <c r="H30" s="115">
        <f t="shared" si="8"/>
        <v>0.11220000000000001</v>
      </c>
      <c r="I30" s="115">
        <f t="shared" si="8"/>
        <v>1.6830000000000001</v>
      </c>
      <c r="J30" s="115">
        <f>11.22*J29</f>
        <v>11.22</v>
      </c>
    </row>
    <row r="32" spans="1:10" x14ac:dyDescent="0.25">
      <c r="A32" t="s">
        <v>84</v>
      </c>
    </row>
    <row r="34" spans="1:10" x14ac:dyDescent="0.25">
      <c r="C34" s="2" t="s">
        <v>70</v>
      </c>
      <c r="D34" s="2" t="s">
        <v>71</v>
      </c>
      <c r="E34" s="2" t="s">
        <v>72</v>
      </c>
      <c r="F34" s="2" t="s">
        <v>73</v>
      </c>
      <c r="G34" s="2" t="s">
        <v>74</v>
      </c>
      <c r="H34" s="2" t="s">
        <v>75</v>
      </c>
      <c r="I34" s="2" t="s">
        <v>76</v>
      </c>
    </row>
    <row r="35" spans="1:10" x14ac:dyDescent="0.25">
      <c r="C35" s="9">
        <v>2.2999999999999998</v>
      </c>
      <c r="D35" s="9">
        <v>2</v>
      </c>
      <c r="E35" s="9">
        <v>0.6</v>
      </c>
      <c r="F35" s="9">
        <v>0.8</v>
      </c>
      <c r="G35" s="9">
        <v>3.8</v>
      </c>
      <c r="H35" s="9">
        <v>0.1</v>
      </c>
      <c r="I35" s="9">
        <v>2.5</v>
      </c>
    </row>
    <row r="37" spans="1:10" x14ac:dyDescent="0.25">
      <c r="B37" s="2" t="s">
        <v>62</v>
      </c>
      <c r="C37" s="3" t="s">
        <v>70</v>
      </c>
      <c r="D37" s="3" t="s">
        <v>71</v>
      </c>
      <c r="E37" s="3" t="s">
        <v>72</v>
      </c>
      <c r="F37" s="3" t="s">
        <v>73</v>
      </c>
      <c r="G37" s="3" t="s">
        <v>74</v>
      </c>
      <c r="H37" s="3" t="s">
        <v>75</v>
      </c>
      <c r="I37" s="3" t="s">
        <v>76</v>
      </c>
    </row>
    <row r="38" spans="1:10" x14ac:dyDescent="0.25">
      <c r="B38" s="2" t="s">
        <v>18</v>
      </c>
      <c r="C38" s="9">
        <f t="shared" ref="C38:I38" si="9">C29*$B$8</f>
        <v>2.4683999999999999</v>
      </c>
      <c r="D38" s="9">
        <f t="shared" si="9"/>
        <v>1.9074</v>
      </c>
      <c r="E38" s="9">
        <f t="shared" si="9"/>
        <v>0.78539999999999999</v>
      </c>
      <c r="F38" s="9">
        <f t="shared" si="9"/>
        <v>0.78539999999999999</v>
      </c>
      <c r="G38" s="9">
        <f t="shared" si="9"/>
        <v>3.4781999999999997</v>
      </c>
      <c r="H38" s="9">
        <f t="shared" si="9"/>
        <v>0.11219999999999999</v>
      </c>
      <c r="I38" s="9">
        <f t="shared" si="9"/>
        <v>1.6829999999999998</v>
      </c>
      <c r="J38" s="74">
        <f>SUM(C38:I38)</f>
        <v>11.219999999999999</v>
      </c>
    </row>
    <row r="39" spans="1:10" x14ac:dyDescent="0.25">
      <c r="B39" s="2" t="s">
        <v>88</v>
      </c>
      <c r="C39" s="9">
        <f t="shared" ref="C39:I39" si="10">C35</f>
        <v>2.2999999999999998</v>
      </c>
      <c r="D39" s="9">
        <f t="shared" si="10"/>
        <v>2</v>
      </c>
      <c r="E39" s="9">
        <f t="shared" si="10"/>
        <v>0.6</v>
      </c>
      <c r="F39" s="9">
        <f t="shared" si="10"/>
        <v>0.8</v>
      </c>
      <c r="G39" s="9">
        <f t="shared" si="10"/>
        <v>3.8</v>
      </c>
      <c r="H39" s="9">
        <f t="shared" si="10"/>
        <v>0.1</v>
      </c>
      <c r="I39" s="9">
        <f t="shared" si="10"/>
        <v>2.5</v>
      </c>
      <c r="J39" s="74">
        <f>SUM(C39:I39)</f>
        <v>12.1</v>
      </c>
    </row>
    <row r="40" spans="1:10" x14ac:dyDescent="0.25">
      <c r="B40" s="2"/>
      <c r="C40" s="97"/>
      <c r="D40" s="98"/>
      <c r="E40" s="97"/>
      <c r="F40" s="98"/>
      <c r="G40" s="98"/>
      <c r="H40" s="97"/>
      <c r="I40" s="98"/>
      <c r="J40" s="74">
        <f>J38-J39</f>
        <v>-0.88000000000000078</v>
      </c>
    </row>
    <row r="41" spans="1:10" x14ac:dyDescent="0.25">
      <c r="B41" s="2"/>
      <c r="C41" s="14">
        <f>C39-C38</f>
        <v>-0.16840000000000011</v>
      </c>
      <c r="D41" s="14">
        <f t="shared" ref="D41:I41" si="11">D39-D38</f>
        <v>9.2600000000000016E-2</v>
      </c>
      <c r="E41" s="14">
        <f t="shared" si="11"/>
        <v>-0.18540000000000001</v>
      </c>
      <c r="F41" s="14">
        <f t="shared" si="11"/>
        <v>1.4600000000000057E-2</v>
      </c>
      <c r="G41" s="14">
        <f t="shared" si="11"/>
        <v>0.32180000000000009</v>
      </c>
      <c r="H41" s="14">
        <f t="shared" si="11"/>
        <v>-1.2199999999999989E-2</v>
      </c>
      <c r="I41" s="14">
        <f t="shared" si="11"/>
        <v>0.81700000000000017</v>
      </c>
      <c r="J41" s="74">
        <f>SUM(C41:I41)</f>
        <v>0.88000000000000023</v>
      </c>
    </row>
    <row r="42" spans="1:10" x14ac:dyDescent="0.25">
      <c r="B42" s="2"/>
      <c r="C42" s="89">
        <f t="shared" ref="C42:H42" si="12">C41/C39</f>
        <v>-7.3217391304347873E-2</v>
      </c>
      <c r="D42" s="89">
        <f t="shared" si="12"/>
        <v>4.6300000000000008E-2</v>
      </c>
      <c r="E42" s="89">
        <f t="shared" si="12"/>
        <v>-0.30900000000000005</v>
      </c>
      <c r="F42" s="89">
        <f t="shared" si="12"/>
        <v>1.8250000000000072E-2</v>
      </c>
      <c r="G42" s="89">
        <f t="shared" si="12"/>
        <v>8.468421052631582E-2</v>
      </c>
      <c r="H42" s="89">
        <f t="shared" si="12"/>
        <v>-0.12199999999999989</v>
      </c>
      <c r="I42" s="89">
        <f>I41/I39</f>
        <v>0.32680000000000009</v>
      </c>
    </row>
    <row r="44" spans="1:10" x14ac:dyDescent="0.25">
      <c r="A44" t="s">
        <v>85</v>
      </c>
      <c r="B44" s="1">
        <v>4.8</v>
      </c>
    </row>
    <row r="45" spans="1:10" x14ac:dyDescent="0.25">
      <c r="A45" s="13" t="s">
        <v>86</v>
      </c>
      <c r="B45" s="1">
        <f>B7-0.2</f>
        <v>15.82</v>
      </c>
    </row>
    <row r="46" spans="1:10" x14ac:dyDescent="0.25">
      <c r="A46" t="s">
        <v>18</v>
      </c>
      <c r="B46" s="13">
        <f>B45-B44</f>
        <v>11.02</v>
      </c>
    </row>
    <row r="49" spans="2:10" x14ac:dyDescent="0.25">
      <c r="B49" s="2" t="s">
        <v>62</v>
      </c>
      <c r="C49" s="3" t="s">
        <v>70</v>
      </c>
      <c r="D49" s="3" t="s">
        <v>71</v>
      </c>
      <c r="E49" s="3" t="s">
        <v>72</v>
      </c>
      <c r="F49" s="3" t="s">
        <v>73</v>
      </c>
      <c r="G49" s="3" t="s">
        <v>74</v>
      </c>
      <c r="H49" s="3" t="s">
        <v>75</v>
      </c>
      <c r="I49" s="3" t="s">
        <v>76</v>
      </c>
      <c r="J49" s="2"/>
    </row>
    <row r="50" spans="2:10" x14ac:dyDescent="0.25">
      <c r="B50" s="2" t="s">
        <v>18</v>
      </c>
      <c r="C50" s="9">
        <f t="shared" ref="C50:I50" si="13">$B$46*C29</f>
        <v>2.4243999999999999</v>
      </c>
      <c r="D50" s="9">
        <f t="shared" si="13"/>
        <v>1.8734</v>
      </c>
      <c r="E50" s="9">
        <f t="shared" si="13"/>
        <v>0.77140000000000009</v>
      </c>
      <c r="F50" s="9">
        <f t="shared" si="13"/>
        <v>0.77140000000000009</v>
      </c>
      <c r="G50" s="9">
        <f t="shared" si="13"/>
        <v>3.4161999999999999</v>
      </c>
      <c r="H50" s="9">
        <f t="shared" si="13"/>
        <v>0.11019999999999999</v>
      </c>
      <c r="I50" s="9">
        <f t="shared" si="13"/>
        <v>1.6529999999999998</v>
      </c>
      <c r="J50" s="14">
        <f>SUM(C50:I50)</f>
        <v>11.02</v>
      </c>
    </row>
    <row r="51" spans="2:10" x14ac:dyDescent="0.25">
      <c r="B51" s="2" t="s">
        <v>88</v>
      </c>
      <c r="C51" s="9">
        <f>C39</f>
        <v>2.2999999999999998</v>
      </c>
      <c r="D51" s="9">
        <f t="shared" ref="D51:H51" si="14">D39</f>
        <v>2</v>
      </c>
      <c r="E51" s="9">
        <f t="shared" si="14"/>
        <v>0.6</v>
      </c>
      <c r="F51" s="9">
        <f t="shared" si="14"/>
        <v>0.8</v>
      </c>
      <c r="G51" s="9">
        <f t="shared" si="14"/>
        <v>3.8</v>
      </c>
      <c r="H51" s="9">
        <f t="shared" si="14"/>
        <v>0.1</v>
      </c>
      <c r="I51" s="9">
        <v>1.6</v>
      </c>
      <c r="J51" s="14">
        <f>SUM(C51:I51)</f>
        <v>11.2</v>
      </c>
    </row>
    <row r="52" spans="2:10" x14ac:dyDescent="0.25">
      <c r="B52" s="2"/>
      <c r="C52" s="97"/>
      <c r="D52" s="98"/>
      <c r="E52" s="97"/>
      <c r="F52" s="98"/>
      <c r="G52" s="98"/>
      <c r="H52" s="97"/>
      <c r="I52" s="97"/>
      <c r="J52" s="14">
        <f>J50-J51</f>
        <v>-0.17999999999999972</v>
      </c>
    </row>
    <row r="53" spans="2:10" x14ac:dyDescent="0.25">
      <c r="C53" s="14">
        <f>C51-C50</f>
        <v>-0.12440000000000007</v>
      </c>
      <c r="D53" s="14">
        <f t="shared" ref="D53:I53" si="15">D51-D50</f>
        <v>0.12660000000000005</v>
      </c>
      <c r="E53" s="14">
        <f t="shared" si="15"/>
        <v>-0.17140000000000011</v>
      </c>
      <c r="F53" s="14">
        <f t="shared" si="15"/>
        <v>2.8599999999999959E-2</v>
      </c>
      <c r="G53" s="14">
        <f t="shared" si="15"/>
        <v>0.38379999999999992</v>
      </c>
      <c r="H53" s="14">
        <f t="shared" si="15"/>
        <v>-1.0199999999999987E-2</v>
      </c>
      <c r="I53" s="14">
        <f t="shared" si="15"/>
        <v>-5.2999999999999714E-2</v>
      </c>
      <c r="J53" s="13">
        <f>SUM(C53:I53)</f>
        <v>0.18000000000000005</v>
      </c>
    </row>
    <row r="54" spans="2:10" x14ac:dyDescent="0.25">
      <c r="C54" s="89">
        <f t="shared" ref="C54:H54" si="16">C53/C51</f>
        <v>-5.4086956521739164E-2</v>
      </c>
      <c r="D54" s="89">
        <f t="shared" si="16"/>
        <v>6.3300000000000023E-2</v>
      </c>
      <c r="E54" s="89">
        <f t="shared" si="16"/>
        <v>-0.28566666666666685</v>
      </c>
      <c r="F54" s="89">
        <f t="shared" si="16"/>
        <v>3.5749999999999948E-2</v>
      </c>
      <c r="G54" s="89">
        <f t="shared" si="16"/>
        <v>0.10099999999999998</v>
      </c>
      <c r="H54" s="89">
        <f t="shared" si="16"/>
        <v>-0.10199999999999987</v>
      </c>
      <c r="I54" s="89">
        <f>I53/I51</f>
        <v>-3.3124999999999821E-2</v>
      </c>
    </row>
  </sheetData>
  <mergeCells count="2">
    <mergeCell ref="A10:J10"/>
    <mergeCell ref="A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Exo 1</vt:lpstr>
      <vt:lpstr>Exo 2</vt:lpstr>
      <vt:lpstr>Exo 3</vt:lpstr>
      <vt:lpstr>Exo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2019-10-30T15:29:15Z</dcterms:created>
  <dcterms:modified xsi:type="dcterms:W3CDTF">2020-09-24T09:52:22Z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e2bedf20-cb07-453d-b0bf-fe8d9ed394d5</vt:lpwstr>
  </property>
</Properties>
</file>