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2/Commun/R306 Controle de gestion/R306 2024 2025/Chapitre 2  - Méthode ABC/"/>
    </mc:Choice>
  </mc:AlternateContent>
  <xr:revisionPtr revIDLastSave="25" documentId="8_{80194CE1-EF0A-4D6B-AA28-EB40A6A4D144}" xr6:coauthVersionLast="47" xr6:coauthVersionMax="47" xr10:uidLastSave="{DE49BDE1-2868-43F1-9E92-262EA8501F0D}"/>
  <bookViews>
    <workbookView xWindow="-120" yWindow="-120" windowWidth="29040" windowHeight="15840" xr2:uid="{00000000-000D-0000-FFFF-FFFF00000000}"/>
  </bookViews>
  <sheets>
    <sheet name="Corrigé exemple cours" sheetId="6" r:id="rId1"/>
    <sheet name="Exercice 1" sheetId="3" r:id="rId2"/>
    <sheet name="Exercice 2" sheetId="4" r:id="rId3"/>
    <sheet name="Exercice 3" sheetId="5" r:id="rId4"/>
    <sheet name="Exercice 4" sheetId="8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0" i="8" l="1"/>
  <c r="F87" i="8"/>
  <c r="D87" i="8"/>
  <c r="F86" i="8"/>
  <c r="E86" i="8"/>
  <c r="C86" i="8"/>
  <c r="B85" i="8"/>
  <c r="D85" i="8" s="1"/>
  <c r="F84" i="8"/>
  <c r="E84" i="8"/>
  <c r="D84" i="8"/>
  <c r="C84" i="8"/>
  <c r="B84" i="8"/>
  <c r="B90" i="8" s="1"/>
  <c r="F83" i="8"/>
  <c r="E83" i="8"/>
  <c r="E90" i="8" s="1"/>
  <c r="D83" i="8"/>
  <c r="C83" i="8"/>
  <c r="C90" i="8" s="1"/>
  <c r="B83" i="8"/>
  <c r="G77" i="8"/>
  <c r="F77" i="8"/>
  <c r="D77" i="8"/>
  <c r="F76" i="8"/>
  <c r="G76" i="8" s="1"/>
  <c r="D76" i="8"/>
  <c r="G75" i="8"/>
  <c r="F75" i="8"/>
  <c r="D75" i="8"/>
  <c r="F74" i="8"/>
  <c r="G74" i="8" s="1"/>
  <c r="D74" i="8"/>
  <c r="D78" i="8" s="1"/>
  <c r="G73" i="8"/>
  <c r="F73" i="8"/>
  <c r="D73" i="8"/>
  <c r="D63" i="8"/>
  <c r="B63" i="8"/>
  <c r="G63" i="8" s="1"/>
  <c r="C68" i="8" s="1"/>
  <c r="A63" i="8"/>
  <c r="B55" i="8"/>
  <c r="A45" i="8"/>
  <c r="G39" i="8"/>
  <c r="C49" i="8" s="1"/>
  <c r="D39" i="8"/>
  <c r="B39" i="8"/>
  <c r="A39" i="8"/>
  <c r="A49" i="8" s="1"/>
  <c r="B38" i="8"/>
  <c r="A38" i="8"/>
  <c r="A48" i="8" s="1"/>
  <c r="B37" i="8"/>
  <c r="A37" i="8"/>
  <c r="A47" i="8" s="1"/>
  <c r="G36" i="8"/>
  <c r="C46" i="8" s="1"/>
  <c r="B36" i="8"/>
  <c r="A36" i="8"/>
  <c r="A46" i="8" s="1"/>
  <c r="K35" i="8"/>
  <c r="B35" i="8"/>
  <c r="A35" i="8"/>
  <c r="B34" i="8"/>
  <c r="A34" i="8"/>
  <c r="A44" i="8" s="1"/>
  <c r="G29" i="8"/>
  <c r="D38" i="8" s="1"/>
  <c r="G38" i="8" s="1"/>
  <c r="C48" i="8" s="1"/>
  <c r="L27" i="8"/>
  <c r="G27" i="8"/>
  <c r="D37" i="8" s="1"/>
  <c r="L26" i="8"/>
  <c r="L25" i="8"/>
  <c r="L24" i="8"/>
  <c r="G24" i="8"/>
  <c r="D35" i="8" s="1"/>
  <c r="G35" i="8" s="1"/>
  <c r="C45" i="8" s="1"/>
  <c r="L23" i="8"/>
  <c r="L28" i="8" s="1"/>
  <c r="G23" i="8"/>
  <c r="G28" i="8" s="1"/>
  <c r="E6" i="8"/>
  <c r="G6" i="8" s="1"/>
  <c r="G7" i="8" s="1"/>
  <c r="B6" i="8"/>
  <c r="B47" i="8" s="1"/>
  <c r="G5" i="8"/>
  <c r="D5" i="8"/>
  <c r="F45" i="8" l="1"/>
  <c r="G45" i="8" s="1"/>
  <c r="D45" i="8"/>
  <c r="C67" i="8"/>
  <c r="F48" i="8"/>
  <c r="G48" i="8" s="1"/>
  <c r="D48" i="8"/>
  <c r="G34" i="8"/>
  <c r="C44" i="8" s="1"/>
  <c r="F46" i="8"/>
  <c r="G46" i="8" s="1"/>
  <c r="D46" i="8"/>
  <c r="G55" i="8"/>
  <c r="F7" i="8"/>
  <c r="F85" i="8"/>
  <c r="F90" i="8" s="1"/>
  <c r="D90" i="8"/>
  <c r="G90" i="8" s="1"/>
  <c r="G37" i="8"/>
  <c r="C47" i="8" s="1"/>
  <c r="F47" i="8" s="1"/>
  <c r="F49" i="8"/>
  <c r="G49" i="8" s="1"/>
  <c r="D49" i="8"/>
  <c r="D7" i="8"/>
  <c r="D68" i="8"/>
  <c r="F68" i="8"/>
  <c r="G68" i="8" s="1"/>
  <c r="E47" i="8"/>
  <c r="G47" i="8" s="1"/>
  <c r="D34" i="8"/>
  <c r="D6" i="8"/>
  <c r="F78" i="8"/>
  <c r="F67" i="8" l="1"/>
  <c r="G67" i="8" s="1"/>
  <c r="G69" i="8" s="1"/>
  <c r="G70" i="8" s="1"/>
  <c r="D67" i="8"/>
  <c r="C7" i="8"/>
  <c r="D55" i="8"/>
  <c r="F44" i="8"/>
  <c r="G44" i="8" s="1"/>
  <c r="G50" i="8" s="1"/>
  <c r="D44" i="8"/>
  <c r="D50" i="8" s="1"/>
  <c r="D47" i="8"/>
  <c r="F55" i="8"/>
  <c r="D69" i="8"/>
  <c r="D70" i="8" s="1"/>
  <c r="C50" i="8" l="1"/>
  <c r="C56" i="8" s="1"/>
  <c r="D56" i="8"/>
  <c r="F50" i="8"/>
  <c r="G56" i="8"/>
  <c r="D57" i="8"/>
  <c r="C57" i="8" s="1"/>
  <c r="C55" i="8"/>
  <c r="F56" i="8" l="1"/>
  <c r="G57" i="8"/>
  <c r="F57" i="8" s="1"/>
  <c r="C47" i="5" l="1"/>
  <c r="C45" i="5" l="1"/>
  <c r="C60" i="5" l="1"/>
  <c r="B41" i="5"/>
  <c r="C26" i="5"/>
  <c r="C2" i="5" l="1"/>
  <c r="B1" i="5"/>
  <c r="C1" i="5" s="1"/>
  <c r="B43" i="4"/>
  <c r="B44" i="4"/>
  <c r="D5" i="6" l="1"/>
  <c r="F45" i="3"/>
  <c r="E45" i="3" s="1"/>
  <c r="F44" i="3"/>
  <c r="I44" i="3"/>
  <c r="I43" i="3"/>
  <c r="F43" i="3"/>
  <c r="I42" i="3"/>
  <c r="F42" i="3"/>
  <c r="I41" i="3"/>
  <c r="F41" i="3"/>
  <c r="I45" i="3" l="1"/>
  <c r="H45" i="3" s="1"/>
  <c r="A41" i="4" l="1"/>
  <c r="C47" i="4"/>
  <c r="G7" i="6"/>
  <c r="D4" i="6"/>
  <c r="D6" i="6"/>
  <c r="D7" i="6"/>
  <c r="D8" i="6"/>
  <c r="D9" i="6" s="1"/>
  <c r="C9" i="6" s="1"/>
  <c r="D3" i="6"/>
  <c r="F4" i="6"/>
  <c r="G4" i="6" s="1"/>
  <c r="F5" i="6"/>
  <c r="G5" i="6" s="1"/>
  <c r="F6" i="6"/>
  <c r="G6" i="6" s="1"/>
  <c r="F7" i="6"/>
  <c r="F8" i="6"/>
  <c r="G8" i="6" s="1"/>
  <c r="F3" i="6"/>
  <c r="G3" i="6" s="1"/>
  <c r="G9" i="6" l="1"/>
  <c r="F9" i="6" s="1"/>
  <c r="E62" i="5"/>
  <c r="C59" i="5"/>
  <c r="C58" i="5"/>
  <c r="C56" i="5"/>
  <c r="D53" i="5"/>
  <c r="C46" i="5"/>
  <c r="C44" i="5"/>
  <c r="C43" i="5"/>
  <c r="C42" i="5"/>
  <c r="B46" i="5"/>
  <c r="B45" i="5"/>
  <c r="D45" i="5" s="1"/>
  <c r="B44" i="5"/>
  <c r="B43" i="5"/>
  <c r="B42" i="5"/>
  <c r="E28" i="5"/>
  <c r="C24" i="5"/>
  <c r="C53" i="5"/>
  <c r="D75" i="5"/>
  <c r="D74" i="5"/>
  <c r="D60" i="5"/>
  <c r="E60" i="5" s="1"/>
  <c r="B60" i="5"/>
  <c r="B59" i="5"/>
  <c r="D58" i="5"/>
  <c r="B58" i="5"/>
  <c r="D57" i="5"/>
  <c r="E57" i="5" s="1"/>
  <c r="B57" i="5"/>
  <c r="D56" i="5"/>
  <c r="E56" i="5" s="1"/>
  <c r="B56" i="5"/>
  <c r="B55" i="5"/>
  <c r="D54" i="5"/>
  <c r="B54" i="5"/>
  <c r="D52" i="5"/>
  <c r="C52" i="5"/>
  <c r="B47" i="5"/>
  <c r="A47" i="5"/>
  <c r="A46" i="5"/>
  <c r="A45" i="5"/>
  <c r="A44" i="5"/>
  <c r="C74" i="5"/>
  <c r="A43" i="5"/>
  <c r="A42" i="5"/>
  <c r="C41" i="5"/>
  <c r="A41" i="5"/>
  <c r="E21" i="5"/>
  <c r="C23" i="5" s="1"/>
  <c r="D11" i="5"/>
  <c r="E11" i="5" s="1"/>
  <c r="D26" i="5" s="1"/>
  <c r="D10" i="5"/>
  <c r="E10" i="5" s="1"/>
  <c r="E9" i="5"/>
  <c r="D24" i="5" s="1"/>
  <c r="D8" i="5"/>
  <c r="E8" i="5" s="1"/>
  <c r="D23" i="5" s="1"/>
  <c r="D25" i="5" l="1"/>
  <c r="E25" i="5" s="1"/>
  <c r="D42" i="5"/>
  <c r="D44" i="5"/>
  <c r="D43" i="5"/>
  <c r="D47" i="5"/>
  <c r="D46" i="5"/>
  <c r="D41" i="5"/>
  <c r="E74" i="5"/>
  <c r="E26" i="5"/>
  <c r="E53" i="5"/>
  <c r="E54" i="5"/>
  <c r="E24" i="5"/>
  <c r="E59" i="5"/>
  <c r="E52" i="5"/>
  <c r="C55" i="5" s="1"/>
  <c r="E55" i="5" s="1"/>
  <c r="E58" i="5"/>
  <c r="E23" i="5"/>
  <c r="E22" i="5"/>
  <c r="C75" i="5"/>
  <c r="E75" i="5" s="1"/>
  <c r="E27" i="5" l="1"/>
  <c r="E61" i="5"/>
  <c r="D61" i="5" l="1"/>
  <c r="E63" i="5"/>
  <c r="D63" i="5" s="1"/>
  <c r="E29" i="5"/>
  <c r="D29" i="5" s="1"/>
  <c r="D27" i="5"/>
  <c r="C55" i="4" l="1"/>
  <c r="D55" i="4" s="1"/>
  <c r="C60" i="4" s="1"/>
  <c r="D60" i="4" s="1"/>
  <c r="D47" i="4"/>
  <c r="D41" i="4"/>
  <c r="A40" i="4"/>
  <c r="A39" i="4"/>
  <c r="C31" i="4"/>
  <c r="C54" i="4" s="1"/>
  <c r="C30" i="4"/>
  <c r="C29" i="4"/>
  <c r="B31" i="4"/>
  <c r="B54" i="4" s="1"/>
  <c r="B30" i="4"/>
  <c r="B29" i="4"/>
  <c r="A31" i="4"/>
  <c r="A54" i="4" s="1"/>
  <c r="A30" i="4"/>
  <c r="A43" i="4" s="1"/>
  <c r="A29" i="4"/>
  <c r="A42" i="4" s="1"/>
  <c r="K45" i="3"/>
  <c r="D34" i="3"/>
  <c r="E34" i="3" s="1"/>
  <c r="E35" i="3"/>
  <c r="E36" i="3"/>
  <c r="C36" i="3"/>
  <c r="C28" i="3"/>
  <c r="H13" i="3"/>
  <c r="H12" i="3"/>
  <c r="G12" i="3"/>
  <c r="G13" i="3" s="1"/>
  <c r="I13" i="3" s="1"/>
  <c r="E12" i="3"/>
  <c r="F12" i="3" s="1"/>
  <c r="D12" i="3"/>
  <c r="D13" i="3" s="1"/>
  <c r="C8" i="3"/>
  <c r="E13" i="3" s="1"/>
  <c r="F14" i="3" l="1"/>
  <c r="I12" i="3"/>
  <c r="I14" i="3" s="1"/>
  <c r="D29" i="4"/>
  <c r="C42" i="4" s="1"/>
  <c r="D42" i="4" s="1"/>
  <c r="D30" i="4"/>
  <c r="C43" i="4" s="1"/>
  <c r="D43" i="4" s="1"/>
  <c r="A44" i="4"/>
  <c r="D31" i="4"/>
  <c r="C44" i="4" s="1"/>
  <c r="D44" i="4" s="1"/>
  <c r="D54" i="4"/>
  <c r="C59" i="4" s="1"/>
  <c r="D59" i="4" s="1"/>
  <c r="D61" i="4" s="1"/>
  <c r="D63" i="4" s="1"/>
  <c r="F13" i="3"/>
  <c r="G14" i="3"/>
  <c r="H14" i="3" l="1"/>
  <c r="H47" i="3" s="1"/>
  <c r="D21" i="3"/>
  <c r="E14" i="3"/>
  <c r="E47" i="3" s="1"/>
  <c r="H17" i="3"/>
  <c r="H19" i="3" s="1"/>
  <c r="D45" i="4"/>
  <c r="C45" i="4" l="1"/>
  <c r="D4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8" authorId="0" shapeId="0" xr:uid="{074DE06F-627E-4F66-860A-7E5521BC68C8}">
      <text>
        <r>
          <rPr>
            <b/>
            <sz val="9"/>
            <color indexed="81"/>
            <rFont val="Tahoma"/>
            <family val="2"/>
          </rPr>
          <t>163000/10000</t>
        </r>
      </text>
    </comment>
    <comment ref="D34" authorId="0" shapeId="0" xr:uid="{30F8D68F-0598-4E9B-B969-CFB0A77AF689}">
      <text>
        <r>
          <rPr>
            <b/>
            <sz val="9"/>
            <color indexed="81"/>
            <rFont val="Tahoma"/>
            <family val="2"/>
          </rPr>
          <t>P1 :  8 lots (8000/1000)
P2 : (2000/400) : 5 lots
5 + 8  = 13 lots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41" authorId="0" shapeId="0" xr:uid="{412740B2-20B1-4007-85C6-C65BDC79EBE2}">
      <text>
        <r>
          <rPr>
            <b/>
            <sz val="9"/>
            <color indexed="81"/>
            <rFont val="Tahoma"/>
            <family val="2"/>
          </rPr>
          <t>7h * 15j *8 = 840h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8" authorId="0" shapeId="0" xr:uid="{F83FD889-E315-4AB6-B1AB-E44A7D28BA5D}">
      <text>
        <r>
          <rPr>
            <b/>
            <sz val="9"/>
            <color indexed="81"/>
            <rFont val="Tahoma"/>
            <family val="2"/>
          </rPr>
          <t>18,30 * 850 
+
49,60 * 150
= 22995€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CE084266-609F-401B-AB4D-A064F5B74393}">
      <text>
        <r>
          <rPr>
            <b/>
            <sz val="9"/>
            <color indexed="81"/>
            <rFont val="Tahoma"/>
            <family val="2"/>
          </rPr>
          <t>122 * 850
+
311 * 150
= 150 350€</t>
        </r>
      </text>
    </comment>
    <comment ref="D22" authorId="0" shapeId="0" xr:uid="{C5B5F3B7-0B2E-4CE0-B763-E96E7FF6C480}">
      <text>
        <r>
          <rPr>
            <b/>
            <sz val="9"/>
            <color indexed="81"/>
            <rFont val="Tahoma"/>
            <family val="2"/>
          </rPr>
          <t>Taux horaire de présence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6" authorId="0" shapeId="0" xr:uid="{37EA4311-5C7F-4AF4-9194-B1E6E32300CF}">
      <text>
        <r>
          <rPr>
            <b/>
            <sz val="9"/>
            <color indexed="81"/>
            <rFont val="Tahoma"/>
            <family val="2"/>
          </rPr>
          <t>6,5/60 * 50000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81DC2AC5-67AE-49FD-B909-436AAAFFC82E}">
      <text>
        <r>
          <rPr>
            <b/>
            <sz val="9"/>
            <color indexed="81"/>
            <rFont val="Tahoma"/>
            <family val="2"/>
          </rPr>
          <t>=10/60*10000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DA6439E6-7A30-4535-8982-234E645D293F}">
      <text>
        <r>
          <rPr>
            <b/>
            <sz val="9"/>
            <color indexed="81"/>
            <rFont val="Tahoma"/>
            <family val="2"/>
          </rPr>
          <t>347000+245980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0" authorId="0" shapeId="0" xr:uid="{985C266E-196A-48AB-BBD7-CC91D06BED8C}">
      <text>
        <r>
          <rPr>
            <b/>
            <sz val="9"/>
            <color indexed="81"/>
            <rFont val="Tahoma"/>
            <family val="2"/>
          </rPr>
          <t>28566,90 / 50000 = 0,57€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<sst xmlns="http://schemas.openxmlformats.org/spreadsheetml/2006/main" count="322" uniqueCount="213">
  <si>
    <t>Q</t>
  </si>
  <si>
    <t>PU</t>
  </si>
  <si>
    <t>M</t>
  </si>
  <si>
    <t>COUT DE REVIENT</t>
  </si>
  <si>
    <t>Production</t>
  </si>
  <si>
    <t>Charges indirectes</t>
  </si>
  <si>
    <t>CA</t>
  </si>
  <si>
    <t>P1</t>
  </si>
  <si>
    <t>P2</t>
  </si>
  <si>
    <t>Charges directes par produit</t>
  </si>
  <si>
    <t>1 - Répartition en fonction du volume de production</t>
  </si>
  <si>
    <t>Coût unité d'œuvre</t>
  </si>
  <si>
    <t>Charges directes</t>
  </si>
  <si>
    <t>COUT DE PRODUCTION</t>
  </si>
  <si>
    <t>2 - Pourquoi améliorer l'analyse des charges indirectes</t>
  </si>
  <si>
    <t>Forte proportion par rapport aux charges directes :</t>
  </si>
  <si>
    <t>des charges totales</t>
  </si>
  <si>
    <t>Eviter l'effet de subventionnement</t>
  </si>
  <si>
    <t>3 - Charges indirectes affectées à l'activité "Stockage de Production"</t>
  </si>
  <si>
    <t>163000 - 77000 - 72000 =</t>
  </si>
  <si>
    <t>4 - Coût unitaire de chaque produit</t>
  </si>
  <si>
    <t>Logistique</t>
  </si>
  <si>
    <t>Stockage</t>
  </si>
  <si>
    <t>Charges</t>
  </si>
  <si>
    <t>Nbre Inducteurs</t>
  </si>
  <si>
    <t>Coût de l'inducteur</t>
  </si>
  <si>
    <t>Nombre de stages</t>
  </si>
  <si>
    <t>Nombre moyen de stagiaires inscris à un stage</t>
  </si>
  <si>
    <t>Programmeur Web</t>
  </si>
  <si>
    <t>Responsable paye</t>
  </si>
  <si>
    <t>P. Web</t>
  </si>
  <si>
    <t>R. Paye</t>
  </si>
  <si>
    <t>Prix</t>
  </si>
  <si>
    <t>Nb de jours</t>
  </si>
  <si>
    <t>Frais Administratif</t>
  </si>
  <si>
    <t>Frais Commercial</t>
  </si>
  <si>
    <t>Coût du formateur</t>
  </si>
  <si>
    <t>70€ par heure</t>
  </si>
  <si>
    <t>65€ par heure</t>
  </si>
  <si>
    <t>Code Activités</t>
  </si>
  <si>
    <t>Activités</t>
  </si>
  <si>
    <t>Inducteurs de coûts</t>
  </si>
  <si>
    <t>Charges annuelles (en €)</t>
  </si>
  <si>
    <t>A1</t>
  </si>
  <si>
    <t>Marketing</t>
  </si>
  <si>
    <t>Nombre de contacts.</t>
  </si>
  <si>
    <t>A2</t>
  </si>
  <si>
    <t>Organisation des salons.</t>
  </si>
  <si>
    <t>Nombre de salons.</t>
  </si>
  <si>
    <t>A3</t>
  </si>
  <si>
    <t>Entretien des locaux</t>
  </si>
  <si>
    <t xml:space="preserve">Nombre de jour de formation </t>
  </si>
  <si>
    <t>A4</t>
  </si>
  <si>
    <t>Gestion du parc informatique</t>
  </si>
  <si>
    <t>Nombre de jour de formation</t>
  </si>
  <si>
    <t>A5</t>
  </si>
  <si>
    <t>Gestion administrative</t>
  </si>
  <si>
    <t>Régions</t>
  </si>
  <si>
    <t>Nombre de salons</t>
  </si>
  <si>
    <t>Nombre de contacts pour Programmeur Web</t>
  </si>
  <si>
    <t>Nombre de contacts pour Responsable Paye</t>
  </si>
  <si>
    <t>Île-de-France</t>
  </si>
  <si>
    <t>Rhône-Alpes</t>
  </si>
  <si>
    <t>Grand-Est</t>
  </si>
  <si>
    <t>Stage non présenté aux salons</t>
  </si>
  <si>
    <t>Nouvelle Aquitaine</t>
  </si>
  <si>
    <t>Provence-Alpes-Côte-d’Azur</t>
  </si>
  <si>
    <t>1 - Résultat Analytique d'un stage "Programmeur Web"</t>
  </si>
  <si>
    <t>Nature de l’inducteur</t>
  </si>
  <si>
    <t>Montant des charges</t>
  </si>
  <si>
    <t>Nombre d'inducteurs</t>
  </si>
  <si>
    <t>Quantité</t>
  </si>
  <si>
    <t>Prix Unitaire</t>
  </si>
  <si>
    <t>Montant</t>
  </si>
  <si>
    <t>Coût d’une formation « Programmeur Web »</t>
  </si>
  <si>
    <t>2 - Changement de la nature de l'inducteur des activités A3 et A4</t>
  </si>
  <si>
    <r>
      <rPr>
        <b/>
        <sz val="11"/>
        <color theme="1"/>
        <rFont val="Calibri"/>
        <family val="2"/>
        <scheme val="minor"/>
      </rPr>
      <t xml:space="preserve">937,50 </t>
    </r>
    <r>
      <rPr>
        <sz val="11"/>
        <color theme="1"/>
        <rFont val="Calibri"/>
        <family val="2"/>
        <scheme val="minor"/>
      </rPr>
      <t xml:space="preserve">  =  850*45/60+150*2</t>
    </r>
  </si>
  <si>
    <t>Nbre UO</t>
  </si>
  <si>
    <t>CUO</t>
  </si>
  <si>
    <t>Approvisionnement</t>
  </si>
  <si>
    <t>Assemblage</t>
  </si>
  <si>
    <t>Administration</t>
  </si>
  <si>
    <t>Distribution</t>
  </si>
  <si>
    <t>MODELE MOTORISE</t>
  </si>
  <si>
    <t>Composant</t>
  </si>
  <si>
    <t>MOD</t>
  </si>
  <si>
    <t>Centre Assemblage</t>
  </si>
  <si>
    <t>Centre Administration</t>
  </si>
  <si>
    <t>Centre Distribution</t>
  </si>
  <si>
    <t>Coût de revient</t>
  </si>
  <si>
    <t>3</t>
  </si>
  <si>
    <t>Oui car c'est la méthode de répartition qui change et non le montant des charges indirectes à affecter aux produits</t>
  </si>
  <si>
    <t>Inducteurs</t>
  </si>
  <si>
    <t>Charges affectées</t>
  </si>
  <si>
    <t>Coût d'un inducteur</t>
  </si>
  <si>
    <t>6</t>
  </si>
  <si>
    <t>Le chariot motorisé coute plus cher en méthode ABC principalement par sa production en petite série et a un contrôle plus rigoureux (35957€ de charges liées aux série - 17364€ aux contrôles)</t>
  </si>
  <si>
    <t>ABC meilleure car une analyse plus pertinante des charges indirectes car il tient compte de l'organisation de la production (lien avec le management)</t>
  </si>
  <si>
    <t>Pour la méthode des centres d'analyses par de changement car le nombre de lots n'est pas une clé de répartition</t>
  </si>
  <si>
    <t>Pour la méthode ABC</t>
  </si>
  <si>
    <t>Nombre d'inducteur</t>
  </si>
  <si>
    <t>Coût inducteur</t>
  </si>
  <si>
    <t>Avant</t>
  </si>
  <si>
    <t>Après</t>
  </si>
  <si>
    <t>Modèle manuel</t>
  </si>
  <si>
    <t>Augmentation du coût de l'inducteur de 466,11€ ce qui correspond à une augmentation de (466,11€ / 50 unités) 9,32€ pour un chariot manuel</t>
  </si>
  <si>
    <t>Modèle motorisé</t>
  </si>
  <si>
    <t>Augmentation du coût de l'inducteur de 466,11€, mais maintenant répartition de l'inducteur sur 50 unités au lieu de 15.</t>
  </si>
  <si>
    <t>2 - Coût de revient du chariot motorisé avec la méthode du cout complet</t>
  </si>
  <si>
    <t>Résultat Analytique</t>
  </si>
  <si>
    <t>Avant 88,78€ par chariot (cf question 4) et maintenant (1797,85/50) 35,96€ par chariot. Donc diminution du coût de revient de 52,82€</t>
  </si>
  <si>
    <t>200 produits A</t>
  </si>
  <si>
    <t>150 produits B</t>
  </si>
  <si>
    <t>Matière 1ère (Kg)</t>
  </si>
  <si>
    <t>MOD (en heures)</t>
  </si>
  <si>
    <t>Nombre d'heures machines</t>
  </si>
  <si>
    <t>Temps de présence</t>
  </si>
  <si>
    <t xml:space="preserve">Nombre d'interventions </t>
  </si>
  <si>
    <t xml:space="preserve">Nombre de lots fabriqués </t>
  </si>
  <si>
    <t>TOTAL</t>
  </si>
  <si>
    <t>Taille des séries de A : 10 en quantité</t>
  </si>
  <si>
    <t>Production : 200A  =&gt;  200/10 lancer 20 lots</t>
  </si>
  <si>
    <t>Web ( 8 * 15j)   -&gt;  120 jours</t>
  </si>
  <si>
    <t>Paye (3 * 10j)  -&gt;  30 jours</t>
  </si>
  <si>
    <t>(15*7)  -&gt;  105h pour une formation</t>
  </si>
  <si>
    <t>105 * 8 = 840 heures</t>
  </si>
  <si>
    <t>Nombre de stagiaires</t>
  </si>
  <si>
    <t>Avant (Nombre de jours de formation)</t>
  </si>
  <si>
    <t>Maintenant (Nbre de stagiaires)</t>
  </si>
  <si>
    <t xml:space="preserve">Différence de charges après changement de l'inducteur </t>
  </si>
  <si>
    <t>1500€ par stagiaire</t>
  </si>
  <si>
    <t>Montant des charges indirectes affectées à chaque produit</t>
  </si>
  <si>
    <t>Charges ou Ressources</t>
  </si>
  <si>
    <t>Inducteur = Unité d'œuvre = Clé de répartition</t>
  </si>
  <si>
    <t>Bénéfice</t>
  </si>
  <si>
    <t>8 stagiaires *7500  = 60000€</t>
  </si>
  <si>
    <t>1000€ par jour de formation</t>
  </si>
  <si>
    <t>WEB 8*8 =64 stagiaires</t>
  </si>
  <si>
    <t>PAYE 12*3 = 36 stagiaires</t>
  </si>
  <si>
    <t>Montant affecté de charges indirectes pour 1 lot mis en fabrication</t>
  </si>
  <si>
    <t>Montant affecté de charges indirectes par ouvrier</t>
  </si>
  <si>
    <t>Montant affecté de charges indirectes par produit fabriqué</t>
  </si>
  <si>
    <t>P1 - 8000</t>
  </si>
  <si>
    <t>P2 - 2000</t>
  </si>
  <si>
    <t>Activité mise en marche</t>
  </si>
  <si>
    <t>Activité logistique</t>
  </si>
  <si>
    <t>Activité stockage</t>
  </si>
  <si>
    <t xml:space="preserve">Mise en marche (8 + 5) </t>
  </si>
  <si>
    <t>Coût de production en fonction uniquement du volume</t>
  </si>
  <si>
    <t>Charges totales</t>
  </si>
  <si>
    <t>% charges indirectes</t>
  </si>
  <si>
    <t>1 - Justification du nbre d'heures</t>
  </si>
  <si>
    <t>Centre Approvisionnement</t>
  </si>
  <si>
    <t xml:space="preserve"> Pour 1€ d'achat on affectera 0,5095€ de charges indirectes</t>
  </si>
  <si>
    <t>MOD (2/0,75 * 150)</t>
  </si>
  <si>
    <t>150 MOTORISES</t>
  </si>
  <si>
    <t>1 lot fabriqué il est affecté 1331,74 de charges</t>
  </si>
  <si>
    <t>1 lot fabriqué il est affecté 1797,85 de charges</t>
  </si>
  <si>
    <t>4 Résultat analytique des chariots motorisés selon la méthode ABC</t>
  </si>
  <si>
    <t>5</t>
  </si>
  <si>
    <t>Question 1</t>
  </si>
  <si>
    <t>COUT DIRECT</t>
  </si>
  <si>
    <t>B1</t>
  </si>
  <si>
    <t>B5</t>
  </si>
  <si>
    <t>COUT D'ACHAT</t>
  </si>
  <si>
    <t>Question 2</t>
  </si>
  <si>
    <t>ANALYSE DES CHARGES INDIRECTES PAR ACTIVITES</t>
  </si>
  <si>
    <t>Charges (ressources)</t>
  </si>
  <si>
    <t>Temps en minutes</t>
  </si>
  <si>
    <t>Nbre d'heures</t>
  </si>
  <si>
    <t>Gestion des matières premières</t>
  </si>
  <si>
    <t>Nombre de références matières premières</t>
  </si>
  <si>
    <t>Gestion des lots mis en fabrication</t>
  </si>
  <si>
    <t>Nombre de lots mis en fabrication</t>
  </si>
  <si>
    <t>B2</t>
  </si>
  <si>
    <t>Gestion des modèles</t>
  </si>
  <si>
    <t>Nombre de modèles de produits finis</t>
  </si>
  <si>
    <t>B3</t>
  </si>
  <si>
    <t>=30000*9,5/60</t>
  </si>
  <si>
    <t>Entretien du matériel de production</t>
  </si>
  <si>
    <t>B4</t>
  </si>
  <si>
    <t>Gestion de l’atelier de production</t>
  </si>
  <si>
    <t>Nombre d'heures</t>
  </si>
  <si>
    <t>Gestion des fournisseurs</t>
  </si>
  <si>
    <t>TOTAL NBRE D'HEURES</t>
  </si>
  <si>
    <t>Gestion des magasins spécialisés</t>
  </si>
  <si>
    <t>Nombre de produits pour les magasins spécialisés</t>
  </si>
  <si>
    <t>Gestion des grands magasins</t>
  </si>
  <si>
    <t>Nombre de lots pour les grands magasins</t>
  </si>
  <si>
    <t>ANALYSE DES CHARGES INDIRECTES PAR INDUCTEUR</t>
  </si>
  <si>
    <t>Nbre d'inducteur</t>
  </si>
  <si>
    <t>TOTAL LOTS</t>
  </si>
  <si>
    <t xml:space="preserve">COUT INDIRECT </t>
  </si>
  <si>
    <t>B1  50000 unités</t>
  </si>
  <si>
    <t>B5  10000 unités</t>
  </si>
  <si>
    <t>COUT INDIRECT</t>
  </si>
  <si>
    <t>COUT DE REVIENT  ABC</t>
  </si>
  <si>
    <t>Questions 3 &amp; 4</t>
  </si>
  <si>
    <t>Nbre d'inducteurs (183 - 100 + 10) = 93</t>
  </si>
  <si>
    <t>Pour un lot mis en fabrication la Charge indirecte est de 5808,60</t>
  </si>
  <si>
    <t>Nombre de lots mis en fabrication  - AVANT</t>
  </si>
  <si>
    <t>Nombre de lots mis en fabrication APRES</t>
  </si>
  <si>
    <t xml:space="preserve">Différence de coût </t>
  </si>
  <si>
    <t xml:space="preserve"> 237 105,24 / 10000 = 23,71</t>
  </si>
  <si>
    <t>183 LOTS : Coût de l'inducteur : 2951,91</t>
  </si>
  <si>
    <t>93 LOTS : Coût de l'inducteur : 5808,60</t>
  </si>
  <si>
    <t>Différence</t>
  </si>
  <si>
    <t>1 REFERENCE MP1</t>
  </si>
  <si>
    <t>MP2</t>
  </si>
  <si>
    <t>MP3</t>
  </si>
  <si>
    <t>MP4</t>
  </si>
  <si>
    <t>MP5</t>
  </si>
  <si>
    <t>MP6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</si>
</sst>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00\ &quot;€&quot;_-;\-* #,##0.0000\ &quot;€&quot;_-;_-* &quot;-&quot;??\ &quot;€&quot;_-;_-@_-"/>
    <numFmt numFmtId="166" formatCode="_-* #,##0.000\ &quot;€&quot;_-;\-* #,##0.000\ &quot;€&quot;_-;_-* &quot;-&quot;??\ &quot;€&quot;_-;_-@_-"/>
    <numFmt numFmtId="167" formatCode="#,##0.00\ &quot;€&quot;"/>
    <numFmt numFmtId="168" formatCode="_-* #,##0.00\ &quot;€&quot;_-;\-* #,##0.00\ &quot;€&quot;_-;_-* &quot;-&quot;????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2" borderId="1" xfId="0" applyFill="1" applyBorder="1"/>
    <xf numFmtId="44" fontId="0" fillId="2" borderId="1" xfId="1" applyFont="1" applyFill="1" applyBorder="1"/>
    <xf numFmtId="0" fontId="2" fillId="0" borderId="1" xfId="0" applyFont="1" applyBorder="1"/>
    <xf numFmtId="44" fontId="2" fillId="0" borderId="1" xfId="1" applyFont="1" applyBorder="1"/>
    <xf numFmtId="0" fontId="0" fillId="0" borderId="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quotePrefix="1"/>
    <xf numFmtId="44" fontId="0" fillId="0" borderId="0" xfId="0" applyNumberForma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0" fontId="0" fillId="0" borderId="0" xfId="2" applyNumberFormat="1" applyFont="1"/>
    <xf numFmtId="0" fontId="0" fillId="0" borderId="1" xfId="0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44" fontId="1" fillId="0" borderId="1" xfId="1" applyFont="1" applyBorder="1"/>
    <xf numFmtId="0" fontId="7" fillId="0" borderId="1" xfId="0" applyFont="1" applyBorder="1"/>
    <xf numFmtId="44" fontId="7" fillId="0" borderId="1" xfId="1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4" fontId="7" fillId="0" borderId="1" xfId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44" fontId="6" fillId="0" borderId="1" xfId="1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44" fontId="6" fillId="0" borderId="0" xfId="1" applyFont="1" applyFill="1" applyBorder="1" applyAlignment="1">
      <alignment horizontal="center"/>
    </xf>
    <xf numFmtId="44" fontId="6" fillId="0" borderId="0" xfId="0" applyNumberFormat="1" applyFont="1" applyFill="1" applyBorder="1"/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164" fontId="11" fillId="0" borderId="10" xfId="1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44" fontId="10" fillId="0" borderId="10" xfId="0" applyNumberFormat="1" applyFont="1" applyBorder="1" applyAlignment="1">
      <alignment vertical="center"/>
    </xf>
    <xf numFmtId="164" fontId="11" fillId="2" borderId="10" xfId="1" applyNumberFormat="1" applyFont="1" applyFill="1" applyBorder="1" applyAlignment="1">
      <alignment vertical="center"/>
    </xf>
    <xf numFmtId="0" fontId="11" fillId="0" borderId="0" xfId="0" quotePrefix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44" fontId="12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4" fontId="12" fillId="2" borderId="1" xfId="0" applyNumberFormat="1" applyFont="1" applyFill="1" applyBorder="1" applyAlignment="1">
      <alignment vertical="center"/>
    </xf>
    <xf numFmtId="44" fontId="12" fillId="2" borderId="1" xfId="1" applyFont="1" applyFill="1" applyBorder="1" applyAlignment="1">
      <alignment vertical="center"/>
    </xf>
    <xf numFmtId="4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44" fontId="13" fillId="0" borderId="1" xfId="1" applyFont="1" applyBorder="1"/>
    <xf numFmtId="0" fontId="7" fillId="3" borderId="1" xfId="0" applyFont="1" applyFill="1" applyBorder="1" applyAlignment="1">
      <alignment vertical="center"/>
    </xf>
    <xf numFmtId="44" fontId="7" fillId="3" borderId="1" xfId="0" applyNumberFormat="1" applyFont="1" applyFill="1" applyBorder="1" applyAlignment="1">
      <alignment vertical="center"/>
    </xf>
    <xf numFmtId="44" fontId="2" fillId="0" borderId="1" xfId="0" applyNumberFormat="1" applyFont="1" applyBorder="1"/>
    <xf numFmtId="0" fontId="14" fillId="0" borderId="1" xfId="0" applyFont="1" applyBorder="1"/>
    <xf numFmtId="44" fontId="14" fillId="0" borderId="1" xfId="1" applyFont="1" applyBorder="1"/>
    <xf numFmtId="44" fontId="14" fillId="0" borderId="1" xfId="0" applyNumberFormat="1" applyFont="1" applyBorder="1"/>
    <xf numFmtId="44" fontId="6" fillId="4" borderId="0" xfId="0" applyNumberFormat="1" applyFont="1" applyFill="1"/>
    <xf numFmtId="0" fontId="6" fillId="4" borderId="0" xfId="0" applyFont="1" applyFill="1"/>
    <xf numFmtId="0" fontId="0" fillId="4" borderId="0" xfId="0" applyFill="1"/>
    <xf numFmtId="44" fontId="7" fillId="2" borderId="1" xfId="1" applyFont="1" applyFill="1" applyBorder="1" applyAlignment="1">
      <alignment vertical="center" wrapText="1"/>
    </xf>
    <xf numFmtId="10" fontId="0" fillId="2" borderId="0" xfId="2" applyNumberFormat="1" applyFont="1" applyFill="1"/>
    <xf numFmtId="0" fontId="15" fillId="0" borderId="0" xfId="0" applyFont="1"/>
    <xf numFmtId="0" fontId="2" fillId="0" borderId="0" xfId="0" quotePrefix="1" applyFont="1"/>
    <xf numFmtId="0" fontId="2" fillId="0" borderId="0" xfId="0" applyFont="1"/>
    <xf numFmtId="44" fontId="2" fillId="2" borderId="1" xfId="0" applyNumberFormat="1" applyFont="1" applyFill="1" applyBorder="1"/>
    <xf numFmtId="0" fontId="2" fillId="5" borderId="1" xfId="0" applyFont="1" applyFill="1" applyBorder="1"/>
    <xf numFmtId="0" fontId="0" fillId="0" borderId="0" xfId="0" applyAlignment="1">
      <alignment wrapText="1"/>
    </xf>
    <xf numFmtId="44" fontId="2" fillId="2" borderId="1" xfId="1" applyFont="1" applyFill="1" applyBorder="1"/>
    <xf numFmtId="0" fontId="14" fillId="0" borderId="1" xfId="0" applyNumberFormat="1" applyFont="1" applyFill="1" applyBorder="1" applyAlignment="1">
      <alignment horizontal="right"/>
    </xf>
    <xf numFmtId="44" fontId="14" fillId="0" borderId="1" xfId="1" applyFont="1" applyFill="1" applyBorder="1"/>
    <xf numFmtId="44" fontId="14" fillId="0" borderId="1" xfId="0" applyNumberFormat="1" applyFont="1" applyFill="1" applyBorder="1"/>
    <xf numFmtId="0" fontId="14" fillId="0" borderId="1" xfId="0" applyFont="1" applyFill="1" applyBorder="1" applyAlignment="1">
      <alignment horizontal="right"/>
    </xf>
    <xf numFmtId="44" fontId="14" fillId="0" borderId="1" xfId="1" applyFont="1" applyFill="1" applyBorder="1" applyAlignment="1">
      <alignment horizontal="center"/>
    </xf>
    <xf numFmtId="0" fontId="0" fillId="6" borderId="1" xfId="0" applyFont="1" applyFill="1" applyBorder="1"/>
    <xf numFmtId="0" fontId="2" fillId="0" borderId="1" xfId="0" applyFont="1" applyFill="1" applyBorder="1"/>
    <xf numFmtId="44" fontId="2" fillId="0" borderId="1" xfId="1" applyFont="1" applyFill="1" applyBorder="1"/>
    <xf numFmtId="2" fontId="2" fillId="6" borderId="1" xfId="0" applyNumberFormat="1" applyFont="1" applyFill="1" applyBorder="1"/>
    <xf numFmtId="44" fontId="0" fillId="6" borderId="1" xfId="0" applyNumberFormat="1" applyFont="1" applyFill="1" applyBorder="1"/>
    <xf numFmtId="44" fontId="2" fillId="0" borderId="1" xfId="0" applyNumberFormat="1" applyFont="1" applyFill="1" applyBorder="1"/>
    <xf numFmtId="44" fontId="2" fillId="6" borderId="1" xfId="0" applyNumberFormat="1" applyFont="1" applyFill="1" applyBorder="1"/>
    <xf numFmtId="0" fontId="14" fillId="0" borderId="1" xfId="0" applyFont="1" applyFill="1" applyBorder="1"/>
    <xf numFmtId="44" fontId="0" fillId="6" borderId="0" xfId="0" applyNumberFormat="1" applyFill="1"/>
    <xf numFmtId="0" fontId="0" fillId="6" borderId="0" xfId="0" applyFill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1" xfId="0" applyFont="1" applyFill="1" applyBorder="1"/>
    <xf numFmtId="165" fontId="6" fillId="7" borderId="1" xfId="1" applyNumberFormat="1" applyFont="1" applyFill="1" applyBorder="1" applyAlignment="1">
      <alignment horizontal="center"/>
    </xf>
    <xf numFmtId="165" fontId="14" fillId="7" borderId="1" xfId="1" applyNumberFormat="1" applyFont="1" applyFill="1" applyBorder="1" applyAlignment="1">
      <alignment horizontal="center"/>
    </xf>
    <xf numFmtId="165" fontId="2" fillId="7" borderId="1" xfId="1" applyNumberFormat="1" applyFont="1" applyFill="1" applyBorder="1"/>
    <xf numFmtId="44" fontId="2" fillId="7" borderId="1" xfId="1" applyFont="1" applyFill="1" applyBorder="1"/>
    <xf numFmtId="166" fontId="2" fillId="7" borderId="1" xfId="1" applyNumberFormat="1" applyFont="1" applyFill="1" applyBorder="1"/>
    <xf numFmtId="0" fontId="0" fillId="2" borderId="0" xfId="0" quotePrefix="1" applyFill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44" fontId="2" fillId="0" borderId="1" xfId="0" applyNumberFormat="1" applyFont="1" applyFill="1" applyBorder="1" applyAlignment="1">
      <alignment horizontal="right"/>
    </xf>
    <xf numFmtId="0" fontId="2" fillId="8" borderId="1" xfId="0" applyFont="1" applyFill="1" applyBorder="1"/>
    <xf numFmtId="0" fontId="14" fillId="8" borderId="1" xfId="0" applyFont="1" applyFill="1" applyBorder="1"/>
    <xf numFmtId="44" fontId="1" fillId="2" borderId="1" xfId="1" applyFont="1" applyFill="1" applyBorder="1"/>
    <xf numFmtId="44" fontId="0" fillId="2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1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0" xfId="0" quotePrefix="1" applyFont="1"/>
    <xf numFmtId="0" fontId="16" fillId="0" borderId="4" xfId="0" quotePrefix="1" applyFont="1" applyBorder="1"/>
    <xf numFmtId="0" fontId="17" fillId="0" borderId="0" xfId="0" quotePrefix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right" vertical="center" wrapText="1"/>
    </xf>
    <xf numFmtId="167" fontId="0" fillId="0" borderId="1" xfId="0" applyNumberFormat="1" applyBorder="1"/>
    <xf numFmtId="167" fontId="0" fillId="2" borderId="1" xfId="0" applyNumberFormat="1" applyFill="1" applyBorder="1"/>
    <xf numFmtId="0" fontId="0" fillId="0" borderId="1" xfId="0" applyBorder="1" applyAlignment="1">
      <alignment horizontal="right" vertical="center" wrapText="1"/>
    </xf>
    <xf numFmtId="2" fontId="0" fillId="0" borderId="1" xfId="0" applyNumberFormat="1" applyBorder="1"/>
    <xf numFmtId="167" fontId="6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44" fontId="0" fillId="0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2" fontId="0" fillId="2" borderId="1" xfId="1" applyNumberFormat="1" applyFont="1" applyFill="1" applyBorder="1"/>
    <xf numFmtId="44" fontId="2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0" fillId="2" borderId="1" xfId="0" quotePrefix="1" applyFill="1" applyBorder="1"/>
    <xf numFmtId="2" fontId="2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0" fillId="2" borderId="0" xfId="0" applyFill="1"/>
    <xf numFmtId="0" fontId="0" fillId="6" borderId="1" xfId="0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44" fontId="2" fillId="8" borderId="1" xfId="0" applyNumberFormat="1" applyFont="1" applyFill="1" applyBorder="1" applyAlignment="1">
      <alignment horizontal="center" vertical="center" wrapText="1"/>
    </xf>
    <xf numFmtId="16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/>
    <xf numFmtId="1" fontId="0" fillId="0" borderId="1" xfId="0" applyNumberFormat="1" applyBorder="1" applyAlignment="1">
      <alignment horizontal="center" vertical="center" wrapText="1"/>
    </xf>
    <xf numFmtId="0" fontId="6" fillId="10" borderId="1" xfId="0" applyFont="1" applyFill="1" applyBorder="1"/>
    <xf numFmtId="0" fontId="6" fillId="10" borderId="1" xfId="0" applyFont="1" applyFill="1" applyBorder="1" applyAlignment="1">
      <alignment horizontal="center"/>
    </xf>
    <xf numFmtId="167" fontId="6" fillId="10" borderId="1" xfId="0" applyNumberFormat="1" applyFont="1" applyFill="1" applyBorder="1"/>
    <xf numFmtId="167" fontId="0" fillId="0" borderId="0" xfId="0" applyNumberFormat="1"/>
    <xf numFmtId="167" fontId="6" fillId="0" borderId="0" xfId="0" applyNumberFormat="1" applyFont="1"/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2" borderId="1" xfId="0" applyNumberFormat="1" applyFill="1" applyBorder="1"/>
    <xf numFmtId="1" fontId="0" fillId="2" borderId="1" xfId="0" applyNumberForma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168" fontId="0" fillId="2" borderId="1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44" fontId="6" fillId="0" borderId="1" xfId="1" applyFont="1" applyBorder="1"/>
    <xf numFmtId="44" fontId="0" fillId="11" borderId="1" xfId="0" applyNumberFormat="1" applyFill="1" applyBorder="1"/>
    <xf numFmtId="44" fontId="6" fillId="12" borderId="1" xfId="0" applyNumberFormat="1" applyFont="1" applyFill="1" applyBorder="1"/>
    <xf numFmtId="44" fontId="6" fillId="0" borderId="0" xfId="0" applyNumberFormat="1" applyFont="1"/>
    <xf numFmtId="0" fontId="0" fillId="2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0" fontId="0" fillId="10" borderId="1" xfId="0" applyFill="1" applyBorder="1"/>
    <xf numFmtId="44" fontId="0" fillId="10" borderId="1" xfId="1" applyFont="1" applyFill="1" applyBorder="1"/>
    <xf numFmtId="44" fontId="0" fillId="11" borderId="1" xfId="0" applyNumberFormat="1" applyFill="1" applyBorder="1" applyAlignment="1">
      <alignment horizontal="center"/>
    </xf>
    <xf numFmtId="44" fontId="0" fillId="12" borderId="1" xfId="0" applyNumberFormat="1" applyFill="1" applyBorder="1" applyAlignment="1">
      <alignment horizontal="center"/>
    </xf>
    <xf numFmtId="44" fontId="6" fillId="2" borderId="1" xfId="0" applyNumberFormat="1" applyFont="1" applyFill="1" applyBorder="1"/>
    <xf numFmtId="44" fontId="6" fillId="10" borderId="1" xfId="0" applyNumberFormat="1" applyFont="1" applyFill="1" applyBorder="1"/>
    <xf numFmtId="44" fontId="0" fillId="13" borderId="1" xfId="0" applyNumberForma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9" borderId="0" xfId="0" applyFill="1"/>
    <xf numFmtId="0" fontId="18" fillId="0" borderId="0" xfId="0" applyFont="1"/>
    <xf numFmtId="0" fontId="0" fillId="0" borderId="0" xfId="0" applyAlignment="1">
      <alignment horizontal="righ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49</xdr:row>
      <xdr:rowOff>50800</xdr:rowOff>
    </xdr:from>
    <xdr:to>
      <xdr:col>6</xdr:col>
      <xdr:colOff>736600</xdr:colOff>
      <xdr:row>58</xdr:row>
      <xdr:rowOff>71120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B8D464C-B823-4DC9-AB3A-DFA3B9A70D3D}"/>
            </a:ext>
          </a:extLst>
        </xdr:cNvPr>
        <xdr:cNvSpPr txBox="1"/>
      </xdr:nvSpPr>
      <xdr:spPr>
        <a:xfrm>
          <a:off x="1838960" y="9377680"/>
          <a:ext cx="5323840" cy="166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Question 1 : Affecté 80% des charges indirectes à P1 (8000/10000) - Charges totales 163000€</a:t>
          </a:r>
        </a:p>
        <a:p>
          <a:endParaRPr lang="fr-FR" sz="1100"/>
        </a:p>
        <a:p>
          <a:r>
            <a:rPr lang="fr-FR" sz="1100"/>
            <a:t>Question  4 :</a:t>
          </a:r>
        </a:p>
        <a:p>
          <a:endParaRPr lang="fr-FR" sz="1100"/>
        </a:p>
        <a:p>
          <a:r>
            <a:rPr lang="fr-FR" sz="1100"/>
            <a:t>Stockage</a:t>
          </a:r>
          <a:r>
            <a:rPr lang="fr-FR" sz="1100" baseline="0"/>
            <a:t> : Affecté 80% à P1 (14000€ de charges totales)</a:t>
          </a:r>
        </a:p>
        <a:p>
          <a:r>
            <a:rPr lang="fr-FR" sz="1100" baseline="0"/>
            <a:t>Mise en marche : Affecté 61,50% à P1 (77000€ de charges totales)    :   8/13  = 61,50%</a:t>
          </a:r>
        </a:p>
        <a:p>
          <a:r>
            <a:rPr lang="fr-FR" sz="1100" baseline="0"/>
            <a:t>Logistique :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Affecté 66,67% à P1 (72000€ de charges totales)    : 12 /18  = 66,67%</a:t>
          </a:r>
          <a:endParaRPr lang="fr-FR" sz="1100" baseline="0"/>
        </a:p>
        <a:p>
          <a:endParaRPr lang="fr-FR" sz="1100"/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1468582</xdr:colOff>
      <xdr:row>81</xdr:row>
      <xdr:rowOff>48491</xdr:rowOff>
    </xdr:from>
    <xdr:to>
      <xdr:col>2</xdr:col>
      <xdr:colOff>616529</xdr:colOff>
      <xdr:row>91</xdr:row>
      <xdr:rowOff>152400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6A0491F-728E-49AE-BD17-9CEEE72A5DDF}"/>
            </a:ext>
          </a:extLst>
        </xdr:cNvPr>
        <xdr:cNvSpPr txBox="1"/>
      </xdr:nvSpPr>
      <xdr:spPr>
        <a:xfrm>
          <a:off x="1468582" y="14284036"/>
          <a:ext cx="3041074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Classique :  1331,74 pour un lot  (50 chariots)</a:t>
          </a:r>
        </a:p>
        <a:p>
          <a:r>
            <a:rPr lang="fr-FR" sz="1100"/>
            <a:t>1 chariot</a:t>
          </a:r>
          <a:r>
            <a:rPr lang="fr-FR" sz="1100" baseline="0"/>
            <a:t> : 1331,74 / 50 = 26,63€ de charges</a:t>
          </a:r>
        </a:p>
        <a:p>
          <a:endParaRPr lang="fr-FR" sz="1100" baseline="0"/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Classique :  1797,85 pour un lot  (50 chariots)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chariot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1797,85 / 50 = 35,95€ de charges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Augmentation du cout : 9,32€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850 * 9,32  =  7922€ de charges en plus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3</xdr:col>
      <xdr:colOff>353291</xdr:colOff>
      <xdr:row>81</xdr:row>
      <xdr:rowOff>96982</xdr:rowOff>
    </xdr:from>
    <xdr:to>
      <xdr:col>6</xdr:col>
      <xdr:colOff>110837</xdr:colOff>
      <xdr:row>92</xdr:row>
      <xdr:rowOff>20782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6643282-04A6-4D53-AE53-1A7A601A03E2}"/>
            </a:ext>
          </a:extLst>
        </xdr:cNvPr>
        <xdr:cNvSpPr txBox="1"/>
      </xdr:nvSpPr>
      <xdr:spPr>
        <a:xfrm>
          <a:off x="5541818" y="14332527"/>
          <a:ext cx="3041074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ysClr val="windowText" lastClr="000000"/>
              </a:solidFill>
            </a:rPr>
            <a:t>Motorisé :  1331,74 pour un lot  (15</a:t>
          </a:r>
          <a:r>
            <a:rPr lang="fr-FR" sz="1100" baseline="0">
              <a:solidFill>
                <a:sysClr val="windowText" lastClr="000000"/>
              </a:solidFill>
            </a:rPr>
            <a:t> </a:t>
          </a:r>
          <a:r>
            <a:rPr lang="fr-FR" sz="1100">
              <a:solidFill>
                <a:sysClr val="windowText" lastClr="000000"/>
              </a:solidFill>
            </a:rPr>
            <a:t>chariots)</a:t>
          </a:r>
        </a:p>
        <a:p>
          <a:r>
            <a:rPr lang="fr-FR" sz="1100">
              <a:solidFill>
                <a:sysClr val="windowText" lastClr="000000"/>
              </a:solidFill>
            </a:rPr>
            <a:t>1 chariot</a:t>
          </a:r>
          <a:r>
            <a:rPr lang="fr-FR" sz="1100" baseline="0">
              <a:solidFill>
                <a:sysClr val="windowText" lastClr="000000"/>
              </a:solidFill>
            </a:rPr>
            <a:t> : 1331,74 / 15 = 88,78€ de charges</a:t>
          </a:r>
        </a:p>
        <a:p>
          <a:endParaRPr lang="fr-FR" sz="1100" baseline="0">
            <a:solidFill>
              <a:schemeClr val="bg1"/>
            </a:solidFill>
          </a:endParaRPr>
        </a:p>
        <a:p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Motorisé :  1797,85 pour un lot  (50 chariots)</a:t>
          </a:r>
          <a:endParaRPr lang="fr-FR">
            <a:solidFill>
              <a:sysClr val="windowText" lastClr="000000"/>
            </a:solidFill>
            <a:effectLst/>
          </a:endParaRPr>
        </a:p>
        <a:p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 chariot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: 1797,85 / 50 = 35,95€ de charges</a:t>
          </a:r>
        </a:p>
        <a:p>
          <a:endParaRPr lang="fr-FR" sz="11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Diminution du cout : 52,83€</a:t>
          </a:r>
        </a:p>
        <a:p>
          <a:endParaRPr lang="fr-FR" sz="11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52,83 * 150 =  7922€ de charges en moins</a:t>
          </a:r>
          <a:endParaRPr lang="fr-FR">
            <a:solidFill>
              <a:sysClr val="windowText" lastClr="000000"/>
            </a:solidFill>
            <a:effectLst/>
          </a:endParaRPr>
        </a:p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339449</xdr:colOff>
      <xdr:row>10</xdr:row>
      <xdr:rowOff>33269</xdr:rowOff>
    </xdr:from>
    <xdr:to>
      <xdr:col>2</xdr:col>
      <xdr:colOff>533400</xdr:colOff>
      <xdr:row>18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55421CD-7B5F-4A87-8391-66BB3ECD5D08}"/>
            </a:ext>
          </a:extLst>
        </xdr:cNvPr>
        <xdr:cNvSpPr txBox="1"/>
      </xdr:nvSpPr>
      <xdr:spPr>
        <a:xfrm>
          <a:off x="339449" y="2138294"/>
          <a:ext cx="4118251" cy="166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/>
            <a:t>30 secondes =&gt;  0,30 minutes =&gt;  0,5 minutes  (30/60)</a:t>
          </a:r>
        </a:p>
        <a:p>
          <a:endParaRPr lang="fr-FR" sz="1100" baseline="0"/>
        </a:p>
        <a:p>
          <a:r>
            <a:rPr lang="fr-FR" sz="1100" baseline="0"/>
            <a:t>6mn 30 secondes =&gt;  6,5 minutes</a:t>
          </a:r>
        </a:p>
        <a:p>
          <a:endParaRPr lang="fr-FR" sz="1100"/>
        </a:p>
        <a:p>
          <a:r>
            <a:rPr lang="fr-FR" sz="1100"/>
            <a:t>60 mn  -&gt;  23€</a:t>
          </a:r>
        </a:p>
        <a:p>
          <a:endParaRPr lang="fr-FR" sz="1100"/>
        </a:p>
        <a:p>
          <a:r>
            <a:rPr lang="fr-FR" sz="1100"/>
            <a:t>6,5</a:t>
          </a:r>
          <a:r>
            <a:rPr lang="fr-FR" sz="1100" baseline="0"/>
            <a:t> mn pour un produit</a:t>
          </a:r>
        </a:p>
        <a:p>
          <a:r>
            <a:rPr lang="fr-FR" sz="1100" baseline="0"/>
            <a:t>6,5 * 50000 = &gt;  325 000mn</a:t>
          </a:r>
        </a:p>
        <a:p>
          <a:r>
            <a:rPr lang="fr-FR" sz="1100"/>
            <a:t>325 000 / 60 = 5416,67 heures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noel\OneDrive%20-%20Universite%20Evry%20Val%20d'Essonne\IUT%20BRETIGNY%20GEA\Cours%20DUT%20GEA%202&#232;me%20ann&#233;e\M32F05%20-%20M32M05%20FA%20-%20FI\DS%202020%202021\DS1\DS1%20FI%20GMO\Corrig&#233;%20DS1%202020%202021%20GM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85c9127a006cce5/Enseignement/IUT%20BRETIGNY%20GEA/Cours%20DUT%20GEA%202&#232;me%20ann&#233;e/M32F05%20-%20M32M05%20FA%20-%20FI/M&#233;thode%20ABC/Exercice%20compl&#233;mentaire%20m&#233;thode%20ABC%20Corrig&#233;%20en%20glob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Corrigé"/>
    </sheetNames>
    <sheetDataSet>
      <sheetData sheetId="0">
        <row r="21">
          <cell r="A21" t="str">
            <v>Nbre de fournisseurs</v>
          </cell>
          <cell r="C21">
            <v>6</v>
          </cell>
          <cell r="D21">
            <v>1301.2416666666666</v>
          </cell>
        </row>
        <row r="22">
          <cell r="A22" t="str">
            <v>1 € d’achat</v>
          </cell>
        </row>
        <row r="23">
          <cell r="A23" t="str">
            <v>Nbre de lots fabriqués</v>
          </cell>
          <cell r="D23">
            <v>1331.7407407407406</v>
          </cell>
        </row>
        <row r="24">
          <cell r="A24" t="str">
            <v>Nbre de chariots fabriqués</v>
          </cell>
          <cell r="D24">
            <v>12.5496</v>
          </cell>
        </row>
        <row r="25">
          <cell r="A25" t="str">
            <v>1 chariot contrôlé</v>
          </cell>
          <cell r="D25">
            <v>13.356923076923078</v>
          </cell>
        </row>
        <row r="26">
          <cell r="A26" t="str">
            <v>1€ de vente</v>
          </cell>
        </row>
        <row r="27">
          <cell r="A27" t="str">
            <v>Poids total des chariots livrés</v>
          </cell>
          <cell r="B27">
            <v>5152.3</v>
          </cell>
          <cell r="D27">
            <v>0.79266153846153853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Feuil4"/>
    </sheetNames>
    <sheetDataSet>
      <sheetData sheetId="0" refreshError="1">
        <row r="9">
          <cell r="C9">
            <v>6</v>
          </cell>
        </row>
        <row r="10">
          <cell r="C10">
            <v>183</v>
          </cell>
        </row>
      </sheetData>
      <sheetData sheetId="1" refreshError="1">
        <row r="16">
          <cell r="G16">
            <v>24000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8AC30-3323-4B9B-8DD2-A3AE69A653AA}">
  <dimension ref="A1:G12"/>
  <sheetViews>
    <sheetView showGridLines="0" tabSelected="1" zoomScale="160" zoomScaleNormal="160" workbookViewId="0">
      <selection activeCell="E18" sqref="E18"/>
    </sheetView>
  </sheetViews>
  <sheetFormatPr baseColWidth="10" defaultRowHeight="15" x14ac:dyDescent="0.25"/>
  <cols>
    <col min="1" max="1" width="22.7109375" bestFit="1" customWidth="1"/>
  </cols>
  <sheetData>
    <row r="1" spans="1:7" ht="15.75" thickBot="1" x14ac:dyDescent="0.3">
      <c r="A1" s="132" t="s">
        <v>3</v>
      </c>
      <c r="B1" s="134" t="s">
        <v>111</v>
      </c>
      <c r="C1" s="135"/>
      <c r="D1" s="136"/>
      <c r="E1" s="134" t="s">
        <v>112</v>
      </c>
      <c r="F1" s="135"/>
      <c r="G1" s="136"/>
    </row>
    <row r="2" spans="1:7" ht="15.75" thickBot="1" x14ac:dyDescent="0.3">
      <c r="A2" s="133"/>
      <c r="B2" s="45" t="s">
        <v>0</v>
      </c>
      <c r="C2" s="45" t="s">
        <v>1</v>
      </c>
      <c r="D2" s="45" t="s">
        <v>2</v>
      </c>
      <c r="E2" s="45" t="s">
        <v>0</v>
      </c>
      <c r="F2" s="45" t="s">
        <v>1</v>
      </c>
      <c r="G2" s="45" t="s">
        <v>2</v>
      </c>
    </row>
    <row r="3" spans="1:7" ht="15.75" thickBot="1" x14ac:dyDescent="0.3">
      <c r="A3" s="46" t="s">
        <v>113</v>
      </c>
      <c r="B3" s="47">
        <v>620</v>
      </c>
      <c r="C3" s="50">
        <v>10</v>
      </c>
      <c r="D3" s="50">
        <f>+B3*C3</f>
        <v>6200</v>
      </c>
      <c r="E3" s="47">
        <v>510</v>
      </c>
      <c r="F3" s="50">
        <f>+C3</f>
        <v>10</v>
      </c>
      <c r="G3" s="50">
        <f>+E3*F3</f>
        <v>5100</v>
      </c>
    </row>
    <row r="4" spans="1:7" ht="15.75" thickBot="1" x14ac:dyDescent="0.3">
      <c r="A4" s="46" t="s">
        <v>114</v>
      </c>
      <c r="B4" s="47">
        <v>415</v>
      </c>
      <c r="C4" s="50">
        <v>30</v>
      </c>
      <c r="D4" s="50">
        <f t="shared" ref="D4:D8" si="0">+B4*C4</f>
        <v>12450</v>
      </c>
      <c r="E4" s="47">
        <v>330</v>
      </c>
      <c r="F4" s="50">
        <f t="shared" ref="F4:F8" si="1">+C4</f>
        <v>30</v>
      </c>
      <c r="G4" s="50">
        <f t="shared" ref="G4:G8" si="2">+E4*F4</f>
        <v>9900</v>
      </c>
    </row>
    <row r="5" spans="1:7" ht="15.75" thickBot="1" x14ac:dyDescent="0.3">
      <c r="A5" s="46" t="s">
        <v>115</v>
      </c>
      <c r="B5" s="47">
        <v>800</v>
      </c>
      <c r="C5" s="53">
        <v>20</v>
      </c>
      <c r="D5" s="50">
        <f>+B5*C5</f>
        <v>16000</v>
      </c>
      <c r="E5" s="47">
        <v>400</v>
      </c>
      <c r="F5" s="53">
        <f t="shared" si="1"/>
        <v>20</v>
      </c>
      <c r="G5" s="50">
        <f t="shared" si="2"/>
        <v>8000</v>
      </c>
    </row>
    <row r="6" spans="1:7" ht="15.75" thickBot="1" x14ac:dyDescent="0.3">
      <c r="A6" s="46" t="s">
        <v>116</v>
      </c>
      <c r="B6" s="47">
        <v>220</v>
      </c>
      <c r="C6" s="53">
        <v>110</v>
      </c>
      <c r="D6" s="50">
        <f t="shared" si="0"/>
        <v>24200</v>
      </c>
      <c r="E6" s="47">
        <v>200</v>
      </c>
      <c r="F6" s="53">
        <f t="shared" si="1"/>
        <v>110</v>
      </c>
      <c r="G6" s="50">
        <f t="shared" si="2"/>
        <v>22000</v>
      </c>
    </row>
    <row r="7" spans="1:7" ht="15.75" thickBot="1" x14ac:dyDescent="0.3">
      <c r="A7" s="46" t="s">
        <v>117</v>
      </c>
      <c r="B7" s="47">
        <v>9</v>
      </c>
      <c r="C7" s="53">
        <v>2450</v>
      </c>
      <c r="D7" s="50">
        <f t="shared" si="0"/>
        <v>22050</v>
      </c>
      <c r="E7" s="47">
        <v>1</v>
      </c>
      <c r="F7" s="53">
        <f t="shared" si="1"/>
        <v>2450</v>
      </c>
      <c r="G7" s="50">
        <f t="shared" si="2"/>
        <v>2450</v>
      </c>
    </row>
    <row r="8" spans="1:7" ht="15.75" thickBot="1" x14ac:dyDescent="0.3">
      <c r="A8" s="46" t="s">
        <v>118</v>
      </c>
      <c r="B8" s="47">
        <v>20</v>
      </c>
      <c r="C8" s="53">
        <v>584</v>
      </c>
      <c r="D8" s="50">
        <f t="shared" si="0"/>
        <v>11680</v>
      </c>
      <c r="E8" s="47">
        <v>30</v>
      </c>
      <c r="F8" s="53">
        <f t="shared" si="1"/>
        <v>584</v>
      </c>
      <c r="G8" s="50">
        <f t="shared" si="2"/>
        <v>17520</v>
      </c>
    </row>
    <row r="9" spans="1:7" ht="15.75" thickBot="1" x14ac:dyDescent="0.3">
      <c r="A9" s="48" t="s">
        <v>119</v>
      </c>
      <c r="B9" s="49">
        <v>200</v>
      </c>
      <c r="C9" s="52">
        <f>D9/B9</f>
        <v>462.9</v>
      </c>
      <c r="D9" s="51">
        <f>SUM(D3:D8)</f>
        <v>92580</v>
      </c>
      <c r="E9" s="49">
        <v>150</v>
      </c>
      <c r="F9" s="52">
        <f>G9/E9</f>
        <v>433.13333333333333</v>
      </c>
      <c r="G9" s="51">
        <f>+SUM(G3:G8)</f>
        <v>64970</v>
      </c>
    </row>
    <row r="11" spans="1:7" x14ac:dyDescent="0.25">
      <c r="A11" s="54" t="s">
        <v>120</v>
      </c>
    </row>
    <row r="12" spans="1:7" x14ac:dyDescent="0.25">
      <c r="A12" t="s">
        <v>121</v>
      </c>
    </row>
  </sheetData>
  <mergeCells count="3">
    <mergeCell ref="A1:A2"/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DB0C-CE14-4681-B52B-A1E7E90A41E4}">
  <dimension ref="A1:K48"/>
  <sheetViews>
    <sheetView showGridLines="0" topLeftCell="A34" zoomScale="150" zoomScaleNormal="150" workbookViewId="0">
      <selection activeCell="L37" sqref="L37"/>
    </sheetView>
  </sheetViews>
  <sheetFormatPr baseColWidth="10" defaultRowHeight="15" x14ac:dyDescent="0.25"/>
  <cols>
    <col min="3" max="3" width="28.28515625" customWidth="1"/>
    <col min="4" max="4" width="17.42578125" bestFit="1" customWidth="1"/>
    <col min="6" max="6" width="13.28515625" bestFit="1" customWidth="1"/>
    <col min="7" max="7" width="12.85546875" bestFit="1" customWidth="1"/>
    <col min="8" max="8" width="14.5703125" customWidth="1"/>
    <col min="9" max="9" width="12.140625" bestFit="1" customWidth="1"/>
    <col min="10" max="10" width="11.85546875" bestFit="1" customWidth="1"/>
    <col min="11" max="11" width="12.85546875" bestFit="1" customWidth="1"/>
  </cols>
  <sheetData>
    <row r="1" spans="1:9" x14ac:dyDescent="0.25">
      <c r="A1" s="1"/>
      <c r="B1" s="1" t="s">
        <v>4</v>
      </c>
      <c r="C1" s="1" t="s">
        <v>9</v>
      </c>
      <c r="D1" s="1" t="s">
        <v>5</v>
      </c>
    </row>
    <row r="2" spans="1:9" x14ac:dyDescent="0.25">
      <c r="A2" s="1" t="s">
        <v>7</v>
      </c>
      <c r="B2" s="1">
        <v>8000</v>
      </c>
      <c r="C2" s="2">
        <v>3</v>
      </c>
      <c r="D2" s="119">
        <v>163000</v>
      </c>
    </row>
    <row r="3" spans="1:9" x14ac:dyDescent="0.25">
      <c r="A3" s="1" t="s">
        <v>8</v>
      </c>
      <c r="B3" s="1">
        <v>2000</v>
      </c>
      <c r="C3" s="2">
        <v>7</v>
      </c>
      <c r="D3" s="119"/>
    </row>
    <row r="6" spans="1:9" x14ac:dyDescent="0.25">
      <c r="A6" s="138" t="s">
        <v>10</v>
      </c>
    </row>
    <row r="8" spans="1:9" x14ac:dyDescent="0.25">
      <c r="A8" s="120" t="s">
        <v>11</v>
      </c>
      <c r="B8" s="121"/>
      <c r="C8" s="69">
        <f>D2/(B2+B3)</f>
        <v>16.3</v>
      </c>
      <c r="D8" t="s">
        <v>131</v>
      </c>
    </row>
    <row r="10" spans="1:9" x14ac:dyDescent="0.25">
      <c r="C10" s="1"/>
      <c r="D10" s="116" t="s">
        <v>7</v>
      </c>
      <c r="E10" s="116"/>
      <c r="F10" s="116"/>
      <c r="G10" s="116" t="s">
        <v>8</v>
      </c>
      <c r="H10" s="116"/>
      <c r="I10" s="116"/>
    </row>
    <row r="11" spans="1:9" x14ac:dyDescent="0.25">
      <c r="C11" s="1"/>
      <c r="D11" s="7" t="s">
        <v>0</v>
      </c>
      <c r="E11" s="7" t="s">
        <v>1</v>
      </c>
      <c r="F11" s="7" t="s">
        <v>2</v>
      </c>
      <c r="G11" s="7" t="s">
        <v>0</v>
      </c>
      <c r="H11" s="7" t="s">
        <v>1</v>
      </c>
      <c r="I11" s="7" t="s">
        <v>2</v>
      </c>
    </row>
    <row r="12" spans="1:9" x14ac:dyDescent="0.25">
      <c r="C12" s="1" t="s">
        <v>12</v>
      </c>
      <c r="D12" s="5">
        <f>B2</f>
        <v>8000</v>
      </c>
      <c r="E12" s="67">
        <f>C2</f>
        <v>3</v>
      </c>
      <c r="F12" s="67">
        <f>D12*E12</f>
        <v>24000</v>
      </c>
      <c r="G12" s="5">
        <f>B3</f>
        <v>2000</v>
      </c>
      <c r="H12" s="67">
        <f>C3</f>
        <v>7</v>
      </c>
      <c r="I12" s="67">
        <f>G12*H12</f>
        <v>14000</v>
      </c>
    </row>
    <row r="13" spans="1:9" x14ac:dyDescent="0.25">
      <c r="C13" s="1" t="s">
        <v>5</v>
      </c>
      <c r="D13" s="5">
        <f>D12</f>
        <v>8000</v>
      </c>
      <c r="E13" s="67">
        <f>C8</f>
        <v>16.3</v>
      </c>
      <c r="F13" s="67">
        <f>D13*E13</f>
        <v>130400</v>
      </c>
      <c r="G13" s="5">
        <f>G12</f>
        <v>2000</v>
      </c>
      <c r="H13" s="67">
        <f>C8</f>
        <v>16.3</v>
      </c>
      <c r="I13" s="67">
        <f>G13*H13</f>
        <v>32600</v>
      </c>
    </row>
    <row r="14" spans="1:9" x14ac:dyDescent="0.25">
      <c r="C14" s="12" t="s">
        <v>13</v>
      </c>
      <c r="D14" s="68">
        <v>8000</v>
      </c>
      <c r="E14" s="69">
        <f>F14/D14</f>
        <v>19.3</v>
      </c>
      <c r="F14" s="70">
        <f>SUM(F12:F13)</f>
        <v>154400</v>
      </c>
      <c r="G14" s="68">
        <f>G13</f>
        <v>2000</v>
      </c>
      <c r="H14" s="69">
        <f>+I14/G14</f>
        <v>23.3</v>
      </c>
      <c r="I14" s="70">
        <f>SUM(I12:I13)</f>
        <v>46600</v>
      </c>
    </row>
    <row r="17" spans="1:8" x14ac:dyDescent="0.25">
      <c r="A17" s="137" t="s">
        <v>14</v>
      </c>
      <c r="F17" t="s">
        <v>149</v>
      </c>
      <c r="H17" s="11">
        <f>F14+I14</f>
        <v>201000</v>
      </c>
    </row>
    <row r="18" spans="1:8" x14ac:dyDescent="0.25">
      <c r="F18" t="s">
        <v>5</v>
      </c>
      <c r="H18" s="8">
        <v>163000</v>
      </c>
    </row>
    <row r="19" spans="1:8" x14ac:dyDescent="0.25">
      <c r="F19" t="s">
        <v>150</v>
      </c>
      <c r="H19" s="75">
        <f>H18/H17</f>
        <v>0.81094527363184077</v>
      </c>
    </row>
    <row r="21" spans="1:8" x14ac:dyDescent="0.25">
      <c r="A21" t="s">
        <v>15</v>
      </c>
      <c r="D21" s="14">
        <f>D2/(D2+F12+I12)</f>
        <v>0.81094527363184077</v>
      </c>
      <c r="E21" t="s">
        <v>16</v>
      </c>
    </row>
    <row r="22" spans="1:8" x14ac:dyDescent="0.25">
      <c r="A22" t="s">
        <v>17</v>
      </c>
    </row>
    <row r="26" spans="1:8" x14ac:dyDescent="0.25">
      <c r="A26" s="137" t="s">
        <v>18</v>
      </c>
    </row>
    <row r="28" spans="1:8" x14ac:dyDescent="0.25">
      <c r="A28" s="10" t="s">
        <v>19</v>
      </c>
      <c r="C28" s="11">
        <f>D2-77000-72000</f>
        <v>14000</v>
      </c>
    </row>
    <row r="31" spans="1:8" x14ac:dyDescent="0.25">
      <c r="A31" s="137" t="s">
        <v>20</v>
      </c>
      <c r="D31" t="s">
        <v>133</v>
      </c>
    </row>
    <row r="33" spans="1:11" ht="30" x14ac:dyDescent="0.25">
      <c r="A33" s="117"/>
      <c r="B33" s="118"/>
      <c r="C33" s="15" t="s">
        <v>132</v>
      </c>
      <c r="D33" s="15" t="s">
        <v>24</v>
      </c>
      <c r="E33" s="15" t="s">
        <v>25</v>
      </c>
    </row>
    <row r="34" spans="1:11" x14ac:dyDescent="0.25">
      <c r="A34" s="115" t="s">
        <v>147</v>
      </c>
      <c r="B34" s="115"/>
      <c r="C34" s="6">
        <v>77000</v>
      </c>
      <c r="D34" s="5">
        <f>8+5</f>
        <v>13</v>
      </c>
      <c r="E34" s="79">
        <f>C34/D34</f>
        <v>5923.0769230769229</v>
      </c>
      <c r="F34" s="77" t="s">
        <v>139</v>
      </c>
      <c r="G34" s="78"/>
      <c r="H34" s="78"/>
      <c r="I34" s="76"/>
    </row>
    <row r="35" spans="1:11" x14ac:dyDescent="0.25">
      <c r="A35" s="115" t="s">
        <v>21</v>
      </c>
      <c r="B35" s="115"/>
      <c r="C35" s="6">
        <v>72000</v>
      </c>
      <c r="D35" s="5">
        <v>18</v>
      </c>
      <c r="E35" s="79">
        <f t="shared" ref="E35:E36" si="0">C35/D35</f>
        <v>4000</v>
      </c>
      <c r="F35" s="77" t="s">
        <v>140</v>
      </c>
      <c r="G35" s="78"/>
      <c r="H35" s="78"/>
      <c r="I35" s="76"/>
    </row>
    <row r="36" spans="1:11" x14ac:dyDescent="0.25">
      <c r="A36" s="115" t="s">
        <v>22</v>
      </c>
      <c r="B36" s="115"/>
      <c r="C36" s="6">
        <f>C28</f>
        <v>14000</v>
      </c>
      <c r="D36" s="5">
        <v>10000</v>
      </c>
      <c r="E36" s="79">
        <f t="shared" si="0"/>
        <v>1.4</v>
      </c>
      <c r="F36" s="77" t="s">
        <v>141</v>
      </c>
      <c r="G36" s="78"/>
      <c r="H36" s="78"/>
      <c r="I36" s="76"/>
    </row>
    <row r="39" spans="1:11" x14ac:dyDescent="0.25">
      <c r="C39" s="1"/>
      <c r="D39" s="116" t="s">
        <v>142</v>
      </c>
      <c r="E39" s="116"/>
      <c r="F39" s="116"/>
      <c r="G39" s="116" t="s">
        <v>143</v>
      </c>
      <c r="H39" s="116"/>
      <c r="I39" s="116"/>
    </row>
    <row r="40" spans="1:11" x14ac:dyDescent="0.25">
      <c r="C40" s="1"/>
      <c r="D40" s="7" t="s">
        <v>0</v>
      </c>
      <c r="E40" s="7" t="s">
        <v>1</v>
      </c>
      <c r="F40" s="7" t="s">
        <v>2</v>
      </c>
      <c r="G40" s="7" t="s">
        <v>0</v>
      </c>
      <c r="H40" s="7" t="s">
        <v>1</v>
      </c>
      <c r="I40" s="7" t="s">
        <v>2</v>
      </c>
    </row>
    <row r="41" spans="1:11" x14ac:dyDescent="0.25">
      <c r="C41" s="1" t="s">
        <v>12</v>
      </c>
      <c r="D41" s="5">
        <v>8000</v>
      </c>
      <c r="E41" s="6">
        <v>3</v>
      </c>
      <c r="F41" s="6">
        <f>D41*E41</f>
        <v>24000</v>
      </c>
      <c r="G41" s="5">
        <v>2000</v>
      </c>
      <c r="H41" s="6">
        <v>7</v>
      </c>
      <c r="I41" s="6">
        <f>G41*H41</f>
        <v>14000</v>
      </c>
    </row>
    <row r="42" spans="1:11" x14ac:dyDescent="0.25">
      <c r="C42" s="1" t="s">
        <v>144</v>
      </c>
      <c r="D42" s="80">
        <v>8</v>
      </c>
      <c r="E42" s="82">
        <v>5923.0769230769229</v>
      </c>
      <c r="F42" s="6">
        <f>D42*E42</f>
        <v>47384.615384615383</v>
      </c>
      <c r="G42" s="80">
        <v>5</v>
      </c>
      <c r="H42" s="82">
        <v>5923.0769230769229</v>
      </c>
      <c r="I42" s="6">
        <f>G42*H42</f>
        <v>29615.384615384613</v>
      </c>
    </row>
    <row r="43" spans="1:11" x14ac:dyDescent="0.25">
      <c r="C43" s="1" t="s">
        <v>145</v>
      </c>
      <c r="D43" s="80">
        <v>12</v>
      </c>
      <c r="E43" s="82">
        <v>4000</v>
      </c>
      <c r="F43" s="6">
        <f>D43*E43</f>
        <v>48000</v>
      </c>
      <c r="G43" s="80">
        <v>6</v>
      </c>
      <c r="H43" s="82">
        <v>4000</v>
      </c>
      <c r="I43" s="6">
        <f>G43*H43</f>
        <v>24000</v>
      </c>
    </row>
    <row r="44" spans="1:11" x14ac:dyDescent="0.25">
      <c r="C44" s="1" t="s">
        <v>146</v>
      </c>
      <c r="D44" s="80">
        <v>8000</v>
      </c>
      <c r="E44" s="82">
        <v>1.4</v>
      </c>
      <c r="F44" s="6">
        <f>D44*E44</f>
        <v>11200</v>
      </c>
      <c r="G44" s="80">
        <v>2000</v>
      </c>
      <c r="H44" s="82">
        <v>1.4</v>
      </c>
      <c r="I44" s="6">
        <f>G44*H44</f>
        <v>2800</v>
      </c>
    </row>
    <row r="45" spans="1:11" x14ac:dyDescent="0.25">
      <c r="C45" s="12" t="s">
        <v>13</v>
      </c>
      <c r="D45" s="68">
        <v>8000</v>
      </c>
      <c r="E45" s="69">
        <f>F45/D45</f>
        <v>16.323076923076922</v>
      </c>
      <c r="F45" s="70">
        <f>SUM(F41:F44)</f>
        <v>130584.61538461538</v>
      </c>
      <c r="G45" s="68">
        <v>2000</v>
      </c>
      <c r="H45" s="69">
        <f>I45/G45</f>
        <v>35.207692307692305</v>
      </c>
      <c r="I45" s="70">
        <f>SUM(I41:I44)</f>
        <v>70415.38461538461</v>
      </c>
      <c r="K45" s="11">
        <f>F45+I45</f>
        <v>201000</v>
      </c>
    </row>
    <row r="47" spans="1:11" ht="45" x14ac:dyDescent="0.25">
      <c r="C47" s="81" t="s">
        <v>148</v>
      </c>
      <c r="E47" s="11">
        <f>E14</f>
        <v>19.3</v>
      </c>
      <c r="H47" s="11">
        <f>H14</f>
        <v>23.3</v>
      </c>
    </row>
    <row r="48" spans="1:11" x14ac:dyDescent="0.25">
      <c r="C48" s="81"/>
    </row>
  </sheetData>
  <mergeCells count="10">
    <mergeCell ref="A36:B36"/>
    <mergeCell ref="D39:F39"/>
    <mergeCell ref="G39:I39"/>
    <mergeCell ref="A33:B33"/>
    <mergeCell ref="D2:D3"/>
    <mergeCell ref="D10:F10"/>
    <mergeCell ref="G10:I10"/>
    <mergeCell ref="A8:B8"/>
    <mergeCell ref="A34:B34"/>
    <mergeCell ref="A35:B3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DDBC-BB1C-4FBD-8991-4BED3CF9A19A}">
  <dimension ref="A2:I63"/>
  <sheetViews>
    <sheetView showGridLines="0" topLeftCell="A31" zoomScale="140" zoomScaleNormal="140" workbookViewId="0">
      <selection activeCell="G52" sqref="G52"/>
    </sheetView>
  </sheetViews>
  <sheetFormatPr baseColWidth="10" defaultRowHeight="15" x14ac:dyDescent="0.25"/>
  <cols>
    <col min="1" max="1" width="30" customWidth="1"/>
    <col min="2" max="2" width="23" customWidth="1"/>
    <col min="3" max="3" width="29.28515625" customWidth="1"/>
    <col min="4" max="4" width="19.7109375" customWidth="1"/>
    <col min="5" max="5" width="1.7109375" customWidth="1"/>
    <col min="6" max="6" width="27.140625" bestFit="1" customWidth="1"/>
    <col min="8" max="8" width="33" customWidth="1"/>
    <col min="9" max="9" width="28.5703125" customWidth="1"/>
  </cols>
  <sheetData>
    <row r="2" spans="1:3" ht="31.5" x14ac:dyDescent="0.25">
      <c r="A2" s="22"/>
      <c r="B2" s="22" t="s">
        <v>26</v>
      </c>
      <c r="C2" s="22" t="s">
        <v>27</v>
      </c>
    </row>
    <row r="3" spans="1:3" ht="15.75" x14ac:dyDescent="0.25">
      <c r="A3" s="20" t="s">
        <v>28</v>
      </c>
      <c r="B3" s="21">
        <v>8</v>
      </c>
      <c r="C3" s="21">
        <v>8</v>
      </c>
    </row>
    <row r="4" spans="1:3" ht="15.75" x14ac:dyDescent="0.25">
      <c r="A4" s="20" t="s">
        <v>29</v>
      </c>
      <c r="B4" s="21">
        <v>3</v>
      </c>
      <c r="C4" s="21">
        <v>12</v>
      </c>
    </row>
    <row r="5" spans="1:3" ht="15.75" x14ac:dyDescent="0.25">
      <c r="A5" s="18"/>
      <c r="B5" s="18"/>
      <c r="C5" s="18"/>
    </row>
    <row r="6" spans="1:3" ht="15.75" x14ac:dyDescent="0.25">
      <c r="A6" s="27"/>
      <c r="B6" s="28" t="s">
        <v>32</v>
      </c>
      <c r="C6" s="28" t="s">
        <v>33</v>
      </c>
    </row>
    <row r="7" spans="1:3" ht="15.75" x14ac:dyDescent="0.25">
      <c r="A7" s="18" t="s">
        <v>30</v>
      </c>
      <c r="B7" s="19">
        <v>7500</v>
      </c>
      <c r="C7" s="18">
        <v>15</v>
      </c>
    </row>
    <row r="8" spans="1:3" ht="15.75" x14ac:dyDescent="0.25">
      <c r="A8" s="16" t="s">
        <v>31</v>
      </c>
      <c r="B8" s="19">
        <v>4000</v>
      </c>
      <c r="C8" s="18">
        <v>10</v>
      </c>
    </row>
    <row r="9" spans="1:3" ht="15.75" x14ac:dyDescent="0.25">
      <c r="A9" s="18"/>
      <c r="B9" s="18"/>
      <c r="C9" s="18"/>
    </row>
    <row r="11" spans="1:3" x14ac:dyDescent="0.25">
      <c r="A11" s="122" t="s">
        <v>12</v>
      </c>
      <c r="B11" s="122"/>
      <c r="C11" s="122"/>
    </row>
    <row r="12" spans="1:3" x14ac:dyDescent="0.25">
      <c r="A12" s="12"/>
      <c r="B12" s="13" t="s">
        <v>30</v>
      </c>
      <c r="C12" s="13" t="s">
        <v>31</v>
      </c>
    </row>
    <row r="13" spans="1:3" x14ac:dyDescent="0.25">
      <c r="A13" s="1" t="s">
        <v>34</v>
      </c>
      <c r="B13" s="2">
        <v>8400</v>
      </c>
      <c r="C13" s="2">
        <v>3600</v>
      </c>
    </row>
    <row r="14" spans="1:3" x14ac:dyDescent="0.25">
      <c r="A14" s="1" t="s">
        <v>35</v>
      </c>
      <c r="B14" s="2">
        <v>21000</v>
      </c>
      <c r="C14" s="2">
        <v>2400</v>
      </c>
    </row>
    <row r="15" spans="1:3" x14ac:dyDescent="0.25">
      <c r="A15" s="1" t="s">
        <v>36</v>
      </c>
      <c r="B15" s="7" t="s">
        <v>37</v>
      </c>
      <c r="C15" s="7" t="s">
        <v>38</v>
      </c>
    </row>
    <row r="17" spans="1:9" x14ac:dyDescent="0.25">
      <c r="A17" s="122" t="s">
        <v>5</v>
      </c>
      <c r="B17" s="122"/>
      <c r="C17" s="122"/>
      <c r="D17" s="122"/>
    </row>
    <row r="18" spans="1:9" ht="31.5" x14ac:dyDescent="0.25">
      <c r="A18" s="29" t="s">
        <v>39</v>
      </c>
      <c r="B18" s="29" t="s">
        <v>40</v>
      </c>
      <c r="C18" s="29" t="s">
        <v>41</v>
      </c>
      <c r="D18" s="29" t="s">
        <v>42</v>
      </c>
      <c r="F18" s="24" t="s">
        <v>57</v>
      </c>
      <c r="G18" s="22" t="s">
        <v>58</v>
      </c>
      <c r="H18" s="22" t="s">
        <v>59</v>
      </c>
      <c r="I18" s="22" t="s">
        <v>60</v>
      </c>
    </row>
    <row r="19" spans="1:9" ht="15.75" x14ac:dyDescent="0.25">
      <c r="A19" s="21" t="s">
        <v>43</v>
      </c>
      <c r="B19" s="20" t="s">
        <v>44</v>
      </c>
      <c r="C19" s="20" t="s">
        <v>45</v>
      </c>
      <c r="D19" s="74">
        <v>62000</v>
      </c>
      <c r="F19" s="25" t="s">
        <v>61</v>
      </c>
      <c r="G19" s="26">
        <v>1</v>
      </c>
      <c r="H19" s="26">
        <v>60</v>
      </c>
      <c r="I19" s="26">
        <v>20</v>
      </c>
    </row>
    <row r="20" spans="1:9" ht="31.5" x14ac:dyDescent="0.25">
      <c r="A20" s="21" t="s">
        <v>46</v>
      </c>
      <c r="B20" s="20" t="s">
        <v>47</v>
      </c>
      <c r="C20" s="20" t="s">
        <v>48</v>
      </c>
      <c r="D20" s="23">
        <v>180000</v>
      </c>
      <c r="F20" s="25" t="s">
        <v>62</v>
      </c>
      <c r="G20" s="26">
        <v>1</v>
      </c>
      <c r="H20" s="26">
        <v>50</v>
      </c>
      <c r="I20" s="26">
        <v>10</v>
      </c>
    </row>
    <row r="21" spans="1:9" ht="15.75" x14ac:dyDescent="0.25">
      <c r="A21" s="21" t="s">
        <v>49</v>
      </c>
      <c r="B21" s="20" t="s">
        <v>50</v>
      </c>
      <c r="C21" s="20" t="s">
        <v>51</v>
      </c>
      <c r="D21" s="23">
        <v>100000</v>
      </c>
      <c r="F21" s="25" t="s">
        <v>63</v>
      </c>
      <c r="G21" s="26">
        <v>1</v>
      </c>
      <c r="H21" s="26">
        <v>40</v>
      </c>
      <c r="I21" s="123" t="s">
        <v>64</v>
      </c>
    </row>
    <row r="22" spans="1:9" ht="31.5" x14ac:dyDescent="0.25">
      <c r="A22" s="21" t="s">
        <v>52</v>
      </c>
      <c r="B22" s="20" t="s">
        <v>53</v>
      </c>
      <c r="C22" s="20" t="s">
        <v>54</v>
      </c>
      <c r="D22" s="23">
        <v>50000</v>
      </c>
      <c r="F22" s="25" t="s">
        <v>65</v>
      </c>
      <c r="G22" s="26">
        <v>1</v>
      </c>
      <c r="H22" s="26">
        <v>70</v>
      </c>
      <c r="I22" s="123"/>
    </row>
    <row r="23" spans="1:9" ht="15.75" x14ac:dyDescent="0.25">
      <c r="A23" s="21" t="s">
        <v>55</v>
      </c>
      <c r="B23" s="20" t="s">
        <v>56</v>
      </c>
      <c r="C23" s="20" t="s">
        <v>45</v>
      </c>
      <c r="D23" s="74">
        <v>31000</v>
      </c>
      <c r="F23" s="25" t="s">
        <v>66</v>
      </c>
      <c r="G23" s="26">
        <v>1</v>
      </c>
      <c r="H23" s="26">
        <v>60</v>
      </c>
      <c r="I23" s="123"/>
    </row>
    <row r="26" spans="1:9" ht="15.75" x14ac:dyDescent="0.25">
      <c r="A26" s="139" t="s">
        <v>67</v>
      </c>
      <c r="B26" s="139"/>
      <c r="C26" s="139"/>
    </row>
    <row r="28" spans="1:9" ht="15.75" x14ac:dyDescent="0.25">
      <c r="A28" s="31" t="s">
        <v>68</v>
      </c>
      <c r="B28" s="31" t="s">
        <v>69</v>
      </c>
      <c r="C28" s="31" t="s">
        <v>70</v>
      </c>
      <c r="D28" s="31" t="s">
        <v>25</v>
      </c>
    </row>
    <row r="29" spans="1:9" ht="15.75" x14ac:dyDescent="0.25">
      <c r="A29" s="25" t="str">
        <f>C19</f>
        <v>Nombre de contacts.</v>
      </c>
      <c r="B29" s="30">
        <f>D19+D23</f>
        <v>93000</v>
      </c>
      <c r="C29" s="25">
        <f>SUM(H19:H23)+SUM(I19:I20)</f>
        <v>310</v>
      </c>
      <c r="D29" s="30">
        <f>B29/C29</f>
        <v>300</v>
      </c>
    </row>
    <row r="30" spans="1:9" ht="15.75" x14ac:dyDescent="0.25">
      <c r="A30" s="25" t="str">
        <f>C20</f>
        <v>Nombre de salons.</v>
      </c>
      <c r="B30" s="30">
        <f>D20</f>
        <v>180000</v>
      </c>
      <c r="C30" s="25">
        <f>5</f>
        <v>5</v>
      </c>
      <c r="D30" s="30">
        <f t="shared" ref="D30:D31" si="0">B30/C30</f>
        <v>36000</v>
      </c>
      <c r="F30" t="s">
        <v>122</v>
      </c>
    </row>
    <row r="31" spans="1:9" ht="15.75" x14ac:dyDescent="0.25">
      <c r="A31" s="25" t="str">
        <f>C21</f>
        <v xml:space="preserve">Nombre de jour de formation </v>
      </c>
      <c r="B31" s="30">
        <f>D21+D22</f>
        <v>150000</v>
      </c>
      <c r="C31" s="25">
        <f>(B3*C7)+(B4*C8)</f>
        <v>150</v>
      </c>
      <c r="D31" s="30">
        <f t="shared" si="0"/>
        <v>1000</v>
      </c>
      <c r="F31" t="s">
        <v>123</v>
      </c>
    </row>
    <row r="38" spans="1:8" ht="15.75" x14ac:dyDescent="0.25">
      <c r="A38" s="24" t="s">
        <v>23</v>
      </c>
      <c r="B38" s="31" t="s">
        <v>71</v>
      </c>
      <c r="C38" s="31" t="s">
        <v>72</v>
      </c>
      <c r="D38" s="31" t="s">
        <v>73</v>
      </c>
    </row>
    <row r="39" spans="1:8" ht="15.75" x14ac:dyDescent="0.25">
      <c r="A39" s="57" t="str">
        <f>A13</f>
        <v>Frais Administratif</v>
      </c>
      <c r="B39" s="58"/>
      <c r="C39" s="59"/>
      <c r="D39" s="59">
        <v>8400</v>
      </c>
    </row>
    <row r="40" spans="1:8" ht="15.75" x14ac:dyDescent="0.25">
      <c r="A40" s="58" t="str">
        <f>A14</f>
        <v>Frais Commercial</v>
      </c>
      <c r="B40" s="58"/>
      <c r="C40" s="59"/>
      <c r="D40" s="59">
        <v>21000</v>
      </c>
    </row>
    <row r="41" spans="1:8" ht="15.75" x14ac:dyDescent="0.25">
      <c r="A41" s="57" t="str">
        <f>A15</f>
        <v>Coût du formateur</v>
      </c>
      <c r="B41" s="58">
        <v>840</v>
      </c>
      <c r="C41" s="60">
        <v>70</v>
      </c>
      <c r="D41" s="59">
        <f t="shared" ref="D41:D44" si="1">B41*C41</f>
        <v>58800</v>
      </c>
      <c r="F41" s="10" t="s">
        <v>124</v>
      </c>
      <c r="H41" s="10" t="s">
        <v>125</v>
      </c>
    </row>
    <row r="42" spans="1:8" ht="15.75" x14ac:dyDescent="0.25">
      <c r="A42" s="25" t="str">
        <f>A29</f>
        <v>Nombre de contacts.</v>
      </c>
      <c r="B42" s="55">
        <v>280</v>
      </c>
      <c r="C42" s="56">
        <f>D29</f>
        <v>300</v>
      </c>
      <c r="D42" s="56">
        <f t="shared" si="1"/>
        <v>84000</v>
      </c>
    </row>
    <row r="43" spans="1:8" ht="15.75" x14ac:dyDescent="0.25">
      <c r="A43" s="25" t="str">
        <f>A30</f>
        <v>Nombre de salons.</v>
      </c>
      <c r="B43" s="55">
        <f>1+1+1+0.6+0.6</f>
        <v>4.2</v>
      </c>
      <c r="C43" s="56">
        <f>D30</f>
        <v>36000</v>
      </c>
      <c r="D43" s="56">
        <f t="shared" si="1"/>
        <v>151200</v>
      </c>
    </row>
    <row r="44" spans="1:8" ht="15.75" x14ac:dyDescent="0.25">
      <c r="A44" s="25" t="str">
        <f>A31</f>
        <v xml:space="preserve">Nombre de jour de formation </v>
      </c>
      <c r="B44" s="55">
        <f>15*8</f>
        <v>120</v>
      </c>
      <c r="C44" s="56">
        <f>D31</f>
        <v>1000</v>
      </c>
      <c r="D44" s="56">
        <f t="shared" si="1"/>
        <v>120000</v>
      </c>
    </row>
    <row r="45" spans="1:8" ht="15.75" x14ac:dyDescent="0.25">
      <c r="A45" s="24" t="s">
        <v>74</v>
      </c>
      <c r="B45" s="62">
        <v>8</v>
      </c>
      <c r="C45" s="61">
        <f>D45/B45</f>
        <v>55425</v>
      </c>
      <c r="D45" s="61">
        <f>SUM(D39:D44)</f>
        <v>443400</v>
      </c>
    </row>
    <row r="47" spans="1:8" ht="15.75" x14ac:dyDescent="0.25">
      <c r="A47" s="27" t="s">
        <v>6</v>
      </c>
      <c r="B47" s="63">
        <v>8</v>
      </c>
      <c r="C47" s="64">
        <f>7500*8</f>
        <v>60000</v>
      </c>
      <c r="D47" s="64">
        <f>B47*C47</f>
        <v>480000</v>
      </c>
    </row>
    <row r="48" spans="1:8" x14ac:dyDescent="0.25">
      <c r="C48" s="10" t="s">
        <v>135</v>
      </c>
      <c r="D48" s="71">
        <f>+D47-D45</f>
        <v>36600</v>
      </c>
      <c r="E48" s="72" t="s">
        <v>134</v>
      </c>
      <c r="F48" s="72"/>
    </row>
    <row r="50" spans="1:7" x14ac:dyDescent="0.25">
      <c r="A50" s="137" t="s">
        <v>75</v>
      </c>
    </row>
    <row r="53" spans="1:7" ht="15.75" x14ac:dyDescent="0.25">
      <c r="A53" s="31" t="s">
        <v>68</v>
      </c>
      <c r="B53" s="31" t="s">
        <v>69</v>
      </c>
      <c r="C53" s="31" t="s">
        <v>70</v>
      </c>
      <c r="D53" s="31" t="s">
        <v>25</v>
      </c>
    </row>
    <row r="54" spans="1:7" ht="15.75" x14ac:dyDescent="0.25">
      <c r="A54" s="65" t="str">
        <f>A31</f>
        <v xml:space="preserve">Nombre de jour de formation </v>
      </c>
      <c r="B54" s="66">
        <f>B31</f>
        <v>150000</v>
      </c>
      <c r="C54" s="65">
        <f>C31</f>
        <v>150</v>
      </c>
      <c r="D54" s="66">
        <f>B54/C54</f>
        <v>1000</v>
      </c>
      <c r="F54" t="s">
        <v>136</v>
      </c>
    </row>
    <row r="55" spans="1:7" ht="15.75" x14ac:dyDescent="0.25">
      <c r="A55" s="25" t="s">
        <v>126</v>
      </c>
      <c r="B55" s="30">
        <v>150000</v>
      </c>
      <c r="C55" s="25">
        <f>(B3*C3)+(B4*C4)</f>
        <v>100</v>
      </c>
      <c r="D55" s="30">
        <f t="shared" ref="D55" si="2">B55/C55</f>
        <v>1500</v>
      </c>
      <c r="F55" s="10" t="s">
        <v>130</v>
      </c>
      <c r="G55" s="73" t="s">
        <v>137</v>
      </c>
    </row>
    <row r="56" spans="1:7" x14ac:dyDescent="0.25">
      <c r="G56" t="s">
        <v>138</v>
      </c>
    </row>
    <row r="58" spans="1:7" ht="15.75" x14ac:dyDescent="0.25">
      <c r="A58" s="24" t="s">
        <v>23</v>
      </c>
      <c r="B58" s="31" t="s">
        <v>71</v>
      </c>
      <c r="C58" s="31" t="s">
        <v>72</v>
      </c>
      <c r="D58" s="31" t="s">
        <v>73</v>
      </c>
    </row>
    <row r="59" spans="1:7" ht="15.75" x14ac:dyDescent="0.25">
      <c r="A59" s="65" t="s">
        <v>127</v>
      </c>
      <c r="B59" s="65">
        <v>120</v>
      </c>
      <c r="C59" s="66">
        <f>D54</f>
        <v>1000</v>
      </c>
      <c r="D59" s="66">
        <f>B59*C59</f>
        <v>120000</v>
      </c>
    </row>
    <row r="60" spans="1:7" ht="15.75" x14ac:dyDescent="0.25">
      <c r="A60" s="25" t="s">
        <v>128</v>
      </c>
      <c r="B60" s="25">
        <v>64</v>
      </c>
      <c r="C60" s="30">
        <f>D55</f>
        <v>1500</v>
      </c>
      <c r="D60" s="30">
        <f>B60*C60</f>
        <v>96000</v>
      </c>
    </row>
    <row r="61" spans="1:7" ht="15.75" x14ac:dyDescent="0.25">
      <c r="A61" s="24" t="s">
        <v>129</v>
      </c>
      <c r="B61" s="24"/>
      <c r="C61" s="32"/>
      <c r="D61" s="32">
        <f>D60-D59</f>
        <v>-24000</v>
      </c>
    </row>
    <row r="63" spans="1:7" x14ac:dyDescent="0.25">
      <c r="D63" s="11">
        <f>D61/8</f>
        <v>-3000</v>
      </c>
    </row>
  </sheetData>
  <mergeCells count="4">
    <mergeCell ref="A11:C11"/>
    <mergeCell ref="A17:D17"/>
    <mergeCell ref="I21:I23"/>
    <mergeCell ref="A26:C2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60DB-6CA5-42CB-B755-A326CECAAC9C}">
  <dimension ref="A1:I80"/>
  <sheetViews>
    <sheetView showGridLines="0" topLeftCell="A70" zoomScale="160" zoomScaleNormal="160" workbookViewId="0">
      <selection activeCell="C83" sqref="C83"/>
    </sheetView>
  </sheetViews>
  <sheetFormatPr baseColWidth="10" defaultRowHeight="15" x14ac:dyDescent="0.25"/>
  <cols>
    <col min="1" max="1" width="29.140625" customWidth="1"/>
    <col min="2" max="2" width="27.7109375" customWidth="1"/>
    <col min="3" max="3" width="18.85546875" bestFit="1" customWidth="1"/>
    <col min="4" max="4" width="18.7109375" bestFit="1" customWidth="1"/>
    <col min="5" max="5" width="17.7109375" customWidth="1"/>
    <col min="7" max="7" width="14.140625" customWidth="1"/>
    <col min="8" max="8" width="16.5703125" customWidth="1"/>
    <col min="10" max="10" width="11.85546875" bestFit="1" customWidth="1"/>
  </cols>
  <sheetData>
    <row r="1" spans="1:9" x14ac:dyDescent="0.25">
      <c r="B1">
        <f>850*45</f>
        <v>38250</v>
      </c>
      <c r="C1">
        <f>B1/60</f>
        <v>637.5</v>
      </c>
      <c r="I1" s="37"/>
    </row>
    <row r="2" spans="1:9" x14ac:dyDescent="0.25">
      <c r="A2" s="137" t="s">
        <v>151</v>
      </c>
      <c r="C2">
        <f>150*2</f>
        <v>300</v>
      </c>
    </row>
    <row r="3" spans="1:9" x14ac:dyDescent="0.25">
      <c r="B3" s="106" t="s">
        <v>76</v>
      </c>
    </row>
    <row r="4" spans="1:9" x14ac:dyDescent="0.25">
      <c r="I4" s="9"/>
    </row>
    <row r="5" spans="1:9" x14ac:dyDescent="0.25">
      <c r="A5" s="137" t="s">
        <v>108</v>
      </c>
    </row>
    <row r="6" spans="1:9" x14ac:dyDescent="0.25">
      <c r="A6" s="10"/>
      <c r="E6" s="33"/>
    </row>
    <row r="7" spans="1:9" x14ac:dyDescent="0.25">
      <c r="A7" s="10"/>
      <c r="B7" s="1"/>
      <c r="C7" s="7" t="s">
        <v>23</v>
      </c>
      <c r="D7" s="7" t="s">
        <v>77</v>
      </c>
      <c r="E7" s="13" t="s">
        <v>78</v>
      </c>
    </row>
    <row r="8" spans="1:9" x14ac:dyDescent="0.25">
      <c r="B8" s="1" t="s">
        <v>79</v>
      </c>
      <c r="C8" s="2">
        <v>11716.6</v>
      </c>
      <c r="D8" s="1">
        <f>18.3*850+(49.6*150)</f>
        <v>22995</v>
      </c>
      <c r="E8" s="101">
        <f>C8/D8</f>
        <v>0.50952815829528164</v>
      </c>
      <c r="F8" s="10" t="s">
        <v>153</v>
      </c>
    </row>
    <row r="9" spans="1:9" x14ac:dyDescent="0.25">
      <c r="B9" s="1" t="s">
        <v>80</v>
      </c>
      <c r="C9" s="2">
        <v>62747.6</v>
      </c>
      <c r="D9" s="1">
        <v>937.5</v>
      </c>
      <c r="E9" s="101">
        <f>C9/D9</f>
        <v>66.930773333333335</v>
      </c>
    </row>
    <row r="10" spans="1:9" x14ac:dyDescent="0.25">
      <c r="B10" s="1" t="s">
        <v>81</v>
      </c>
      <c r="C10" s="2">
        <v>5380.8</v>
      </c>
      <c r="D10" s="5">
        <f>850+150</f>
        <v>1000</v>
      </c>
      <c r="E10" s="102">
        <f>C10/D10</f>
        <v>5.3807999999999998</v>
      </c>
    </row>
    <row r="11" spans="1:9" x14ac:dyDescent="0.25">
      <c r="B11" s="1" t="s">
        <v>82</v>
      </c>
      <c r="C11" s="2">
        <v>9918.7999999999993</v>
      </c>
      <c r="D11" s="5">
        <f>850*122+(150*311)</f>
        <v>150350</v>
      </c>
      <c r="E11" s="102">
        <f>C11/D11</f>
        <v>6.5971400066511462E-2</v>
      </c>
    </row>
    <row r="18" spans="1:9" x14ac:dyDescent="0.25">
      <c r="A18" s="10"/>
    </row>
    <row r="19" spans="1:9" x14ac:dyDescent="0.25">
      <c r="A19" s="10"/>
      <c r="C19" s="116" t="s">
        <v>83</v>
      </c>
      <c r="D19" s="116"/>
      <c r="E19" s="116"/>
    </row>
    <row r="20" spans="1:9" x14ac:dyDescent="0.25">
      <c r="B20" s="34"/>
      <c r="C20" s="7" t="s">
        <v>0</v>
      </c>
      <c r="D20" s="7" t="s">
        <v>1</v>
      </c>
      <c r="E20" s="7" t="s">
        <v>2</v>
      </c>
    </row>
    <row r="21" spans="1:9" x14ac:dyDescent="0.25">
      <c r="A21" s="125" t="s">
        <v>12</v>
      </c>
      <c r="B21" s="89" t="s">
        <v>84</v>
      </c>
      <c r="C21" s="107">
        <v>150</v>
      </c>
      <c r="D21" s="90">
        <v>49.6</v>
      </c>
      <c r="E21" s="84">
        <f>C21*D21</f>
        <v>7440</v>
      </c>
    </row>
    <row r="22" spans="1:9" x14ac:dyDescent="0.25">
      <c r="A22" s="125"/>
      <c r="B22" s="108" t="s">
        <v>154</v>
      </c>
      <c r="C22" s="107">
        <v>400</v>
      </c>
      <c r="D22" s="90">
        <v>22.5</v>
      </c>
      <c r="E22" s="90">
        <f>C22*D22</f>
        <v>9000</v>
      </c>
    </row>
    <row r="23" spans="1:9" x14ac:dyDescent="0.25">
      <c r="A23" s="126" t="s">
        <v>5</v>
      </c>
      <c r="B23" s="89" t="s">
        <v>152</v>
      </c>
      <c r="C23" s="109">
        <f>E21</f>
        <v>7440</v>
      </c>
      <c r="D23" s="103">
        <f>E8</f>
        <v>0.50952815829528164</v>
      </c>
      <c r="E23" s="90">
        <f>C23*D23</f>
        <v>3790.8894977168952</v>
      </c>
    </row>
    <row r="24" spans="1:9" ht="14.45" customHeight="1" x14ac:dyDescent="0.25">
      <c r="A24" s="126"/>
      <c r="B24" s="89" t="s">
        <v>86</v>
      </c>
      <c r="C24" s="107">
        <f>2*150</f>
        <v>300</v>
      </c>
      <c r="D24" s="103">
        <f>E9</f>
        <v>66.930773333333335</v>
      </c>
      <c r="E24" s="90">
        <f t="shared" ref="E24:E25" si="0">C24*D24</f>
        <v>20079.232</v>
      </c>
    </row>
    <row r="25" spans="1:9" x14ac:dyDescent="0.25">
      <c r="A25" s="126"/>
      <c r="B25" s="89" t="s">
        <v>87</v>
      </c>
      <c r="C25" s="107">
        <v>150</v>
      </c>
      <c r="D25" s="104">
        <f>E10</f>
        <v>5.3807999999999998</v>
      </c>
      <c r="E25" s="90">
        <f t="shared" si="0"/>
        <v>807.12</v>
      </c>
    </row>
    <row r="26" spans="1:9" x14ac:dyDescent="0.25">
      <c r="A26" s="126"/>
      <c r="B26" s="89" t="s">
        <v>88</v>
      </c>
      <c r="C26" s="107">
        <f>311*150</f>
        <v>46650</v>
      </c>
      <c r="D26" s="105">
        <f>E11</f>
        <v>6.5971400066511462E-2</v>
      </c>
      <c r="E26" s="90">
        <f>C26*D26</f>
        <v>3077.5658131027599</v>
      </c>
    </row>
    <row r="27" spans="1:9" x14ac:dyDescent="0.25">
      <c r="A27" s="127" t="s">
        <v>89</v>
      </c>
      <c r="B27" s="127"/>
      <c r="C27" s="83">
        <v>150</v>
      </c>
      <c r="D27" s="84">
        <f>E27/C27</f>
        <v>294.63204873879772</v>
      </c>
      <c r="E27" s="85">
        <f t="shared" ref="E27" si="1">SUM(E21:E26)</f>
        <v>44194.807310819662</v>
      </c>
    </row>
    <row r="28" spans="1:9" x14ac:dyDescent="0.25">
      <c r="A28" s="128" t="s">
        <v>6</v>
      </c>
      <c r="B28" s="129"/>
      <c r="C28" s="83">
        <v>150</v>
      </c>
      <c r="D28" s="84">
        <v>311</v>
      </c>
      <c r="E28" s="85">
        <f>C28*D28</f>
        <v>46650</v>
      </c>
      <c r="I28" s="35"/>
    </row>
    <row r="29" spans="1:9" x14ac:dyDescent="0.25">
      <c r="A29" s="128" t="s">
        <v>109</v>
      </c>
      <c r="B29" s="129"/>
      <c r="C29" s="86">
        <v>150</v>
      </c>
      <c r="D29" s="87">
        <f>E29/C29</f>
        <v>16.367951261202251</v>
      </c>
      <c r="E29" s="85">
        <f>E28-E27</f>
        <v>2455.1926891803378</v>
      </c>
      <c r="I29" s="35"/>
    </row>
    <row r="30" spans="1:9" x14ac:dyDescent="0.25">
      <c r="A30" s="10"/>
      <c r="E30" s="11"/>
      <c r="H30" s="11"/>
      <c r="I30" s="35"/>
    </row>
    <row r="31" spans="1:9" x14ac:dyDescent="0.25">
      <c r="B31" s="8"/>
      <c r="D31" s="8"/>
      <c r="E31" s="11"/>
      <c r="H31" s="11"/>
      <c r="I31" s="35"/>
    </row>
    <row r="32" spans="1:9" x14ac:dyDescent="0.25">
      <c r="E32" s="11"/>
      <c r="H32" s="11"/>
      <c r="I32" s="35"/>
    </row>
    <row r="33" spans="1:9" x14ac:dyDescent="0.25">
      <c r="E33" s="11"/>
      <c r="H33" s="11"/>
      <c r="I33" s="35"/>
    </row>
    <row r="34" spans="1:9" x14ac:dyDescent="0.25">
      <c r="A34" s="138" t="s">
        <v>90</v>
      </c>
      <c r="E34" s="11"/>
      <c r="H34" s="11"/>
      <c r="I34" s="35"/>
    </row>
    <row r="35" spans="1:9" x14ac:dyDescent="0.25">
      <c r="A35" t="s">
        <v>91</v>
      </c>
      <c r="E35" s="11"/>
      <c r="H35" s="11"/>
      <c r="I35" s="35"/>
    </row>
    <row r="36" spans="1:9" x14ac:dyDescent="0.25">
      <c r="E36" s="11"/>
      <c r="H36" s="11"/>
      <c r="I36" s="35"/>
    </row>
    <row r="37" spans="1:9" x14ac:dyDescent="0.25">
      <c r="E37" s="11"/>
      <c r="H37" s="11"/>
      <c r="I37" s="35"/>
    </row>
    <row r="38" spans="1:9" x14ac:dyDescent="0.25">
      <c r="A38" s="137" t="s">
        <v>158</v>
      </c>
    </row>
    <row r="40" spans="1:9" x14ac:dyDescent="0.25">
      <c r="A40" s="13" t="s">
        <v>92</v>
      </c>
      <c r="B40" s="36" t="s">
        <v>93</v>
      </c>
      <c r="C40" s="13" t="s">
        <v>70</v>
      </c>
      <c r="D40" s="13" t="s">
        <v>94</v>
      </c>
    </row>
    <row r="41" spans="1:9" x14ac:dyDescent="0.25">
      <c r="A41" s="88" t="str">
        <f>[1]Feuil1!A21</f>
        <v>Nbre de fournisseurs</v>
      </c>
      <c r="B41" s="17">
        <f>4870+2937.45</f>
        <v>7807.45</v>
      </c>
      <c r="C41" s="110">
        <f>[1]Feuil1!C21</f>
        <v>6</v>
      </c>
      <c r="D41" s="91">
        <f>B41/C41</f>
        <v>1301.2416666666666</v>
      </c>
    </row>
    <row r="42" spans="1:9" x14ac:dyDescent="0.25">
      <c r="A42" s="5" t="str">
        <f>[1]Feuil1!A22</f>
        <v>1 € d’achat</v>
      </c>
      <c r="B42" s="6">
        <f>2929.15</f>
        <v>2929.15</v>
      </c>
      <c r="C42" s="110">
        <f>850*18.3+49.6*150</f>
        <v>22995</v>
      </c>
      <c r="D42" s="91">
        <f t="shared" ref="D42:D47" si="2">B42/C42</f>
        <v>0.12738203957382041</v>
      </c>
    </row>
    <row r="43" spans="1:9" x14ac:dyDescent="0.25">
      <c r="A43" s="5" t="str">
        <f>[1]Feuil1!A23</f>
        <v>Nbre de lots fabriqués</v>
      </c>
      <c r="B43" s="6">
        <f>980+20200+11174+1460+1175+968</f>
        <v>35957</v>
      </c>
      <c r="C43" s="110">
        <f>850/50+150/15</f>
        <v>27</v>
      </c>
      <c r="D43" s="91">
        <f t="shared" si="2"/>
        <v>1331.7407407407406</v>
      </c>
    </row>
    <row r="44" spans="1:9" x14ac:dyDescent="0.25">
      <c r="A44" s="5" t="str">
        <f>[1]Feuil1!A24</f>
        <v>Nbre de chariots fabriqués</v>
      </c>
      <c r="B44" s="6">
        <f>12549.6</f>
        <v>12549.6</v>
      </c>
      <c r="C44" s="110">
        <f>850+150</f>
        <v>1000</v>
      </c>
      <c r="D44" s="91">
        <f t="shared" si="2"/>
        <v>12.5496</v>
      </c>
    </row>
    <row r="45" spans="1:9" x14ac:dyDescent="0.25">
      <c r="A45" s="89" t="str">
        <f>[1]Feuil1!A25</f>
        <v>1 chariot contrôlé</v>
      </c>
      <c r="B45" s="90">
        <f>17364</f>
        <v>17364</v>
      </c>
      <c r="C45" s="111">
        <f>850+150*3</f>
        <v>1300</v>
      </c>
      <c r="D45" s="91">
        <f t="shared" si="2"/>
        <v>13.356923076923078</v>
      </c>
    </row>
    <row r="46" spans="1:9" x14ac:dyDescent="0.25">
      <c r="A46" s="89" t="str">
        <f>[1]Feuil1!A26</f>
        <v>1€ de vente</v>
      </c>
      <c r="B46" s="90">
        <f>4205.8+3798.5</f>
        <v>8004.3</v>
      </c>
      <c r="C46" s="110">
        <f>850*122+150*311</f>
        <v>150350</v>
      </c>
      <c r="D46" s="91">
        <f t="shared" si="2"/>
        <v>5.3237778516794149E-2</v>
      </c>
    </row>
    <row r="47" spans="1:9" x14ac:dyDescent="0.25">
      <c r="A47" s="89" t="str">
        <f>[1]Feuil1!A27</f>
        <v>Poids total des chariots livrés</v>
      </c>
      <c r="B47" s="90">
        <f>[1]Feuil1!B27</f>
        <v>5152.3</v>
      </c>
      <c r="C47" s="110">
        <f>850*5+150*15</f>
        <v>6500</v>
      </c>
      <c r="D47" s="91">
        <f t="shared" si="2"/>
        <v>0.79266153846153853</v>
      </c>
    </row>
    <row r="51" spans="1:5" x14ac:dyDescent="0.25">
      <c r="A51" s="39"/>
      <c r="B51" s="114" t="s">
        <v>155</v>
      </c>
      <c r="C51" s="40" t="s">
        <v>0</v>
      </c>
      <c r="D51" s="40" t="s">
        <v>1</v>
      </c>
      <c r="E51" s="40" t="s">
        <v>2</v>
      </c>
    </row>
    <row r="52" spans="1:5" x14ac:dyDescent="0.25">
      <c r="A52" s="130" t="s">
        <v>12</v>
      </c>
      <c r="B52" s="100" t="s">
        <v>84</v>
      </c>
      <c r="C52" s="100">
        <f>C21</f>
        <v>150</v>
      </c>
      <c r="D52" s="4">
        <f>D21</f>
        <v>49.6</v>
      </c>
      <c r="E52" s="112">
        <f>C52*D52</f>
        <v>7440</v>
      </c>
    </row>
    <row r="53" spans="1:5" x14ac:dyDescent="0.25">
      <c r="A53" s="130"/>
      <c r="B53" s="100" t="s">
        <v>85</v>
      </c>
      <c r="C53" s="100">
        <f>C22</f>
        <v>400</v>
      </c>
      <c r="D53" s="113">
        <f>D22</f>
        <v>22.5</v>
      </c>
      <c r="E53" s="112">
        <f>C53*D53</f>
        <v>9000</v>
      </c>
    </row>
    <row r="54" spans="1:5" x14ac:dyDescent="0.25">
      <c r="A54" s="131" t="s">
        <v>5</v>
      </c>
      <c r="B54" s="38" t="str">
        <f>[1]Feuil1!A21</f>
        <v>Nbre de fournisseurs</v>
      </c>
      <c r="C54" s="89">
        <v>4</v>
      </c>
      <c r="D54" s="94">
        <f>[1]Feuil1!D21</f>
        <v>1301.2416666666666</v>
      </c>
      <c r="E54" s="90">
        <f>C54*D54</f>
        <v>5204.9666666666662</v>
      </c>
    </row>
    <row r="55" spans="1:5" x14ac:dyDescent="0.25">
      <c r="A55" s="131"/>
      <c r="B55" s="38" t="str">
        <f>[1]Feuil1!A22</f>
        <v>1 € d’achat</v>
      </c>
      <c r="C55" s="93">
        <f>E52</f>
        <v>7440</v>
      </c>
      <c r="D55" s="94">
        <v>0.13</v>
      </c>
      <c r="E55" s="90">
        <f t="shared" ref="E55:E60" si="3">C55*D55</f>
        <v>967.2</v>
      </c>
    </row>
    <row r="56" spans="1:5" x14ac:dyDescent="0.25">
      <c r="A56" s="131"/>
      <c r="B56" s="38" t="str">
        <f>[1]Feuil1!A23</f>
        <v>Nbre de lots fabriqués</v>
      </c>
      <c r="C56" s="89">
        <f>150/15</f>
        <v>10</v>
      </c>
      <c r="D56" s="94">
        <f>[1]Feuil1!D23</f>
        <v>1331.7407407407406</v>
      </c>
      <c r="E56" s="90">
        <f>C56*D56</f>
        <v>13317.407407407407</v>
      </c>
    </row>
    <row r="57" spans="1:5" x14ac:dyDescent="0.25">
      <c r="A57" s="131"/>
      <c r="B57" s="38" t="str">
        <f>[1]Feuil1!A24</f>
        <v>Nbre de chariots fabriqués</v>
      </c>
      <c r="C57" s="89">
        <v>150</v>
      </c>
      <c r="D57" s="92">
        <f>[1]Feuil1!D24</f>
        <v>12.5496</v>
      </c>
      <c r="E57" s="90">
        <f t="shared" si="3"/>
        <v>1882.44</v>
      </c>
    </row>
    <row r="58" spans="1:5" x14ac:dyDescent="0.25">
      <c r="A58" s="131"/>
      <c r="B58" s="38" t="str">
        <f>[1]Feuil1!A25</f>
        <v>1 chariot contrôlé</v>
      </c>
      <c r="C58" s="89">
        <f>150*3</f>
        <v>450</v>
      </c>
      <c r="D58" s="94">
        <f>[1]Feuil1!D25</f>
        <v>13.356923076923078</v>
      </c>
      <c r="E58" s="90">
        <f t="shared" si="3"/>
        <v>6010.6153846153848</v>
      </c>
    </row>
    <row r="59" spans="1:5" x14ac:dyDescent="0.25">
      <c r="A59" s="131"/>
      <c r="B59" s="38" t="str">
        <f>[1]Feuil1!A26</f>
        <v>1€ de vente</v>
      </c>
      <c r="C59" s="89">
        <f>150*311</f>
        <v>46650</v>
      </c>
      <c r="D59" s="94">
        <v>5.2999999999999999E-2</v>
      </c>
      <c r="E59" s="90">
        <f t="shared" si="3"/>
        <v>2472.4499999999998</v>
      </c>
    </row>
    <row r="60" spans="1:5" x14ac:dyDescent="0.25">
      <c r="A60" s="131"/>
      <c r="B60" s="38" t="str">
        <f>[1]Feuil1!A27</f>
        <v>Poids total des chariots livrés</v>
      </c>
      <c r="C60" s="89">
        <f>15*150</f>
        <v>2250</v>
      </c>
      <c r="D60" s="94">
        <f>[1]Feuil1!D27</f>
        <v>0.79266153846153853</v>
      </c>
      <c r="E60" s="90">
        <f t="shared" si="3"/>
        <v>1783.4884615384617</v>
      </c>
    </row>
    <row r="61" spans="1:5" x14ac:dyDescent="0.25">
      <c r="A61" s="127" t="s">
        <v>89</v>
      </c>
      <c r="B61" s="127"/>
      <c r="C61" s="95">
        <v>150</v>
      </c>
      <c r="D61" s="85">
        <f>E61/C61</f>
        <v>320.52378613485274</v>
      </c>
      <c r="E61" s="85">
        <f>SUM(E52:E60)</f>
        <v>48078.567920227913</v>
      </c>
    </row>
    <row r="62" spans="1:5" x14ac:dyDescent="0.25">
      <c r="A62" s="128" t="s">
        <v>6</v>
      </c>
      <c r="B62" s="129"/>
      <c r="C62" s="83">
        <v>150</v>
      </c>
      <c r="D62" s="84">
        <v>311</v>
      </c>
      <c r="E62" s="85">
        <f>C62*D62</f>
        <v>46650</v>
      </c>
    </row>
    <row r="63" spans="1:5" x14ac:dyDescent="0.25">
      <c r="A63" s="128" t="s">
        <v>109</v>
      </c>
      <c r="B63" s="129"/>
      <c r="C63" s="86">
        <v>150</v>
      </c>
      <c r="D63" s="87">
        <f>E63/C63</f>
        <v>-9.5237861348527559</v>
      </c>
      <c r="E63" s="85">
        <f>E62-E61</f>
        <v>-1428.5679202279134</v>
      </c>
    </row>
    <row r="64" spans="1:5" x14ac:dyDescent="0.25">
      <c r="A64" s="41"/>
      <c r="B64" s="41"/>
      <c r="C64" s="42"/>
      <c r="D64" s="43"/>
      <c r="E64" s="44"/>
    </row>
    <row r="65" spans="1:8" x14ac:dyDescent="0.25">
      <c r="A65" s="41"/>
      <c r="B65" s="41"/>
      <c r="C65" s="42"/>
      <c r="D65" s="43"/>
      <c r="E65" s="44"/>
    </row>
    <row r="66" spans="1:8" x14ac:dyDescent="0.25">
      <c r="A66" s="137" t="s">
        <v>159</v>
      </c>
    </row>
    <row r="67" spans="1:8" x14ac:dyDescent="0.25">
      <c r="A67" t="s">
        <v>96</v>
      </c>
    </row>
    <row r="68" spans="1:8" x14ac:dyDescent="0.25">
      <c r="A68" t="s">
        <v>97</v>
      </c>
      <c r="H68" s="124"/>
    </row>
    <row r="69" spans="1:8" x14ac:dyDescent="0.25">
      <c r="H69" s="124"/>
    </row>
    <row r="70" spans="1:8" x14ac:dyDescent="0.25">
      <c r="A70" s="137" t="s">
        <v>95</v>
      </c>
    </row>
    <row r="71" spans="1:8" x14ac:dyDescent="0.25">
      <c r="A71" s="10" t="s">
        <v>98</v>
      </c>
      <c r="H71" s="35"/>
    </row>
    <row r="72" spans="1:8" x14ac:dyDescent="0.25">
      <c r="A72" s="10" t="s">
        <v>99</v>
      </c>
    </row>
    <row r="73" spans="1:8" x14ac:dyDescent="0.25">
      <c r="A73" s="10"/>
      <c r="C73" t="s">
        <v>69</v>
      </c>
      <c r="D73" t="s">
        <v>100</v>
      </c>
      <c r="E73" t="s">
        <v>101</v>
      </c>
    </row>
    <row r="74" spans="1:8" x14ac:dyDescent="0.25">
      <c r="B74" s="10" t="s">
        <v>102</v>
      </c>
      <c r="C74" s="11">
        <f>B43</f>
        <v>35957</v>
      </c>
      <c r="D74">
        <f>(850/50+150/15)</f>
        <v>27</v>
      </c>
      <c r="E74" s="11">
        <f>C74/D74</f>
        <v>1331.7407407407406</v>
      </c>
      <c r="F74" t="s">
        <v>156</v>
      </c>
    </row>
    <row r="75" spans="1:8" x14ac:dyDescent="0.25">
      <c r="A75" s="10"/>
      <c r="B75" t="s">
        <v>103</v>
      </c>
      <c r="C75" s="96">
        <f>C74</f>
        <v>35957</v>
      </c>
      <c r="D75" s="97">
        <f>(850/50+150/50)</f>
        <v>20</v>
      </c>
      <c r="E75" s="96">
        <f>C75/D75</f>
        <v>1797.85</v>
      </c>
      <c r="F75" t="s">
        <v>157</v>
      </c>
    </row>
    <row r="76" spans="1:8" x14ac:dyDescent="0.25">
      <c r="H76" s="35"/>
    </row>
    <row r="77" spans="1:8" x14ac:dyDescent="0.25">
      <c r="A77" s="10" t="s">
        <v>104</v>
      </c>
      <c r="B77" t="s">
        <v>105</v>
      </c>
    </row>
    <row r="78" spans="1:8" x14ac:dyDescent="0.25">
      <c r="A78" s="10" t="s">
        <v>106</v>
      </c>
      <c r="B78" t="s">
        <v>107</v>
      </c>
    </row>
    <row r="79" spans="1:8" x14ac:dyDescent="0.25">
      <c r="A79" s="10"/>
      <c r="B79" t="s">
        <v>110</v>
      </c>
    </row>
    <row r="80" spans="1:8" x14ac:dyDescent="0.25">
      <c r="A80" s="10"/>
    </row>
  </sheetData>
  <mergeCells count="12">
    <mergeCell ref="H68:H69"/>
    <mergeCell ref="C19:E19"/>
    <mergeCell ref="A21:A22"/>
    <mergeCell ref="A23:A26"/>
    <mergeCell ref="A27:B27"/>
    <mergeCell ref="A28:B28"/>
    <mergeCell ref="A29:B29"/>
    <mergeCell ref="A62:B62"/>
    <mergeCell ref="A63:B63"/>
    <mergeCell ref="A52:A53"/>
    <mergeCell ref="A54:A60"/>
    <mergeCell ref="A61:B6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808A-8101-454B-8F4D-9EF933F979E7}">
  <dimension ref="A1:M90"/>
  <sheetViews>
    <sheetView showGridLines="0" topLeftCell="A70" workbookViewId="0">
      <selection activeCell="D102" sqref="D102"/>
    </sheetView>
  </sheetViews>
  <sheetFormatPr baseColWidth="10" defaultRowHeight="15" x14ac:dyDescent="0.25"/>
  <cols>
    <col min="1" max="1" width="43.28515625" bestFit="1" customWidth="1"/>
    <col min="2" max="3" width="15.5703125" customWidth="1"/>
    <col min="4" max="4" width="16.140625" customWidth="1"/>
    <col min="5" max="5" width="15.42578125" bestFit="1" customWidth="1"/>
    <col min="6" max="6" width="13.5703125" customWidth="1"/>
    <col min="7" max="7" width="17.140625" bestFit="1" customWidth="1"/>
    <col min="8" max="8" width="6.140625" customWidth="1"/>
    <col min="9" max="9" width="14.28515625" customWidth="1"/>
    <col min="10" max="10" width="14.5703125" bestFit="1" customWidth="1"/>
    <col min="13" max="13" width="15.140625" customWidth="1"/>
  </cols>
  <sheetData>
    <row r="1" spans="1:7" x14ac:dyDescent="0.25">
      <c r="A1" s="204" t="s">
        <v>160</v>
      </c>
    </row>
    <row r="2" spans="1:7" x14ac:dyDescent="0.25">
      <c r="A2" s="122" t="s">
        <v>161</v>
      </c>
      <c r="B2" s="122"/>
      <c r="C2" s="122"/>
      <c r="D2" s="122"/>
      <c r="E2" s="122"/>
      <c r="F2" s="122"/>
      <c r="G2" s="122"/>
    </row>
    <row r="3" spans="1:7" x14ac:dyDescent="0.25">
      <c r="A3" s="1"/>
      <c r="B3" s="141" t="s">
        <v>162</v>
      </c>
      <c r="C3" s="141"/>
      <c r="D3" s="141"/>
      <c r="E3" s="141" t="s">
        <v>163</v>
      </c>
      <c r="F3" s="141"/>
      <c r="G3" s="141"/>
    </row>
    <row r="4" spans="1:7" x14ac:dyDescent="0.25">
      <c r="A4" s="1"/>
      <c r="B4" s="142" t="s">
        <v>0</v>
      </c>
      <c r="C4" s="142" t="s">
        <v>1</v>
      </c>
      <c r="D4" s="142" t="s">
        <v>2</v>
      </c>
      <c r="E4" s="142" t="s">
        <v>0</v>
      </c>
      <c r="F4" s="142" t="s">
        <v>1</v>
      </c>
      <c r="G4" s="142" t="s">
        <v>2</v>
      </c>
    </row>
    <row r="5" spans="1:7" ht="20.45" customHeight="1" x14ac:dyDescent="0.25">
      <c r="A5" s="1" t="s">
        <v>164</v>
      </c>
      <c r="B5" s="143">
        <v>50000</v>
      </c>
      <c r="C5" s="144">
        <v>25</v>
      </c>
      <c r="D5" s="145">
        <f>B5*C5</f>
        <v>1250000</v>
      </c>
      <c r="E5" s="146">
        <v>10000</v>
      </c>
      <c r="F5" s="144">
        <v>40</v>
      </c>
      <c r="G5" s="145">
        <f>E5*F5</f>
        <v>400000</v>
      </c>
    </row>
    <row r="6" spans="1:7" ht="20.45" customHeight="1" x14ac:dyDescent="0.25">
      <c r="A6" s="1" t="s">
        <v>85</v>
      </c>
      <c r="B6" s="147">
        <f>6.5/60*50000</f>
        <v>5416.666666666667</v>
      </c>
      <c r="C6" s="144">
        <v>23</v>
      </c>
      <c r="D6" s="144">
        <f>B6*C6</f>
        <v>124583.33333333334</v>
      </c>
      <c r="E6" s="147">
        <f>10/60*10000</f>
        <v>1666.6666666666665</v>
      </c>
      <c r="F6" s="144">
        <v>23</v>
      </c>
      <c r="G6" s="144">
        <f>E6*F6</f>
        <v>38333.333333333328</v>
      </c>
    </row>
    <row r="7" spans="1:7" ht="20.45" customHeight="1" x14ac:dyDescent="0.25">
      <c r="A7" s="12" t="s">
        <v>161</v>
      </c>
      <c r="B7" s="12">
        <v>50000</v>
      </c>
      <c r="C7" s="148">
        <f>D7/B7</f>
        <v>27.491666666666664</v>
      </c>
      <c r="D7" s="148">
        <f>D5+D6</f>
        <v>1374583.3333333333</v>
      </c>
      <c r="E7" s="12">
        <v>10000</v>
      </c>
      <c r="F7" s="148">
        <f>G7/E7</f>
        <v>43.833333333333329</v>
      </c>
      <c r="G7" s="148">
        <f>G5+G6</f>
        <v>438333.33333333331</v>
      </c>
    </row>
    <row r="20" spans="1:13" ht="48" customHeight="1" x14ac:dyDescent="0.25">
      <c r="A20" s="204" t="s">
        <v>165</v>
      </c>
    </row>
    <row r="21" spans="1:13" ht="14.25" customHeight="1" x14ac:dyDescent="0.25">
      <c r="A21" s="122" t="s">
        <v>166</v>
      </c>
      <c r="B21" s="122"/>
      <c r="C21" s="122"/>
      <c r="D21" s="122"/>
      <c r="E21" s="122"/>
      <c r="F21" s="122"/>
      <c r="G21" s="122"/>
    </row>
    <row r="22" spans="1:13" ht="36" customHeight="1" x14ac:dyDescent="0.25">
      <c r="A22" s="12" t="s">
        <v>40</v>
      </c>
      <c r="B22" s="116" t="s">
        <v>167</v>
      </c>
      <c r="C22" s="116"/>
      <c r="D22" s="149" t="s">
        <v>92</v>
      </c>
      <c r="E22" s="150"/>
      <c r="F22" s="151"/>
      <c r="G22" s="12" t="s">
        <v>24</v>
      </c>
      <c r="I22" s="3"/>
      <c r="J22" s="3"/>
      <c r="K22" s="152" t="s">
        <v>168</v>
      </c>
      <c r="L22" s="3" t="s">
        <v>169</v>
      </c>
      <c r="M22" s="3"/>
    </row>
    <row r="23" spans="1:13" ht="23.45" customHeight="1" x14ac:dyDescent="0.25">
      <c r="A23" s="1" t="s">
        <v>170</v>
      </c>
      <c r="B23" s="153">
        <v>347000</v>
      </c>
      <c r="C23" s="153"/>
      <c r="D23" s="115" t="s">
        <v>171</v>
      </c>
      <c r="E23" s="115"/>
      <c r="F23" s="115"/>
      <c r="G23" s="147">
        <f>[2]Feuil1!C9</f>
        <v>6</v>
      </c>
      <c r="I23" s="154" t="s">
        <v>162</v>
      </c>
      <c r="J23" s="3">
        <v>50000</v>
      </c>
      <c r="K23" s="3">
        <v>6.5</v>
      </c>
      <c r="L23" s="155">
        <f>J23*K23/60</f>
        <v>5416.666666666667</v>
      </c>
      <c r="M23" s="3"/>
    </row>
    <row r="24" spans="1:13" ht="23.45" customHeight="1" x14ac:dyDescent="0.25">
      <c r="A24" s="5" t="s">
        <v>172</v>
      </c>
      <c r="B24" s="156">
        <v>444200</v>
      </c>
      <c r="C24" s="156"/>
      <c r="D24" s="157" t="s">
        <v>173</v>
      </c>
      <c r="E24" s="157"/>
      <c r="F24" s="157"/>
      <c r="G24" s="91">
        <f>[2]Feuil1!C10</f>
        <v>183</v>
      </c>
      <c r="I24" s="154" t="s">
        <v>174</v>
      </c>
      <c r="J24" s="3">
        <v>38000</v>
      </c>
      <c r="K24" s="3">
        <v>11</v>
      </c>
      <c r="L24" s="155">
        <f t="shared" ref="L24:L27" si="0">J24*K24/60</f>
        <v>6966.666666666667</v>
      </c>
      <c r="M24" s="3"/>
    </row>
    <row r="25" spans="1:13" x14ac:dyDescent="0.25">
      <c r="A25" s="1" t="s">
        <v>175</v>
      </c>
      <c r="B25" s="153">
        <v>395000</v>
      </c>
      <c r="C25" s="153"/>
      <c r="D25" s="115" t="s">
        <v>176</v>
      </c>
      <c r="E25" s="115"/>
      <c r="F25" s="115"/>
      <c r="G25" s="158">
        <v>5</v>
      </c>
      <c r="I25" s="154" t="s">
        <v>177</v>
      </c>
      <c r="J25" s="3">
        <v>30000</v>
      </c>
      <c r="K25" s="3">
        <v>9.5</v>
      </c>
      <c r="L25" s="155">
        <f t="shared" si="0"/>
        <v>4750</v>
      </c>
      <c r="M25" s="159" t="s">
        <v>178</v>
      </c>
    </row>
    <row r="26" spans="1:13" x14ac:dyDescent="0.25">
      <c r="A26" s="1" t="s">
        <v>179</v>
      </c>
      <c r="B26" s="153">
        <v>96000</v>
      </c>
      <c r="C26" s="153"/>
      <c r="D26" s="115" t="s">
        <v>173</v>
      </c>
      <c r="E26" s="115"/>
      <c r="F26" s="115"/>
      <c r="G26" s="91">
        <v>183</v>
      </c>
      <c r="I26" s="154" t="s">
        <v>180</v>
      </c>
      <c r="J26" s="3">
        <v>24000</v>
      </c>
      <c r="K26" s="3">
        <v>13</v>
      </c>
      <c r="L26" s="155">
        <f t="shared" si="0"/>
        <v>5200</v>
      </c>
      <c r="M26" s="3"/>
    </row>
    <row r="27" spans="1:13" x14ac:dyDescent="0.25">
      <c r="A27" s="1" t="s">
        <v>181</v>
      </c>
      <c r="B27" s="153">
        <v>3195340</v>
      </c>
      <c r="C27" s="153"/>
      <c r="D27" s="115" t="s">
        <v>182</v>
      </c>
      <c r="E27" s="115"/>
      <c r="F27" s="115"/>
      <c r="G27" s="160">
        <f>[2]Feuil2!G16</f>
        <v>24000</v>
      </c>
      <c r="I27" s="154" t="s">
        <v>163</v>
      </c>
      <c r="J27" s="3">
        <v>10000</v>
      </c>
      <c r="K27" s="3">
        <v>10</v>
      </c>
      <c r="L27" s="155">
        <f t="shared" si="0"/>
        <v>1666.6666666666667</v>
      </c>
      <c r="M27" s="3"/>
    </row>
    <row r="28" spans="1:13" x14ac:dyDescent="0.25">
      <c r="A28" s="1" t="s">
        <v>183</v>
      </c>
      <c r="B28" s="153">
        <v>245980</v>
      </c>
      <c r="C28" s="153"/>
      <c r="D28" s="115" t="s">
        <v>171</v>
      </c>
      <c r="E28" s="115"/>
      <c r="F28" s="115"/>
      <c r="G28" s="158">
        <f>G23</f>
        <v>6</v>
      </c>
      <c r="I28" s="161" t="s">
        <v>184</v>
      </c>
      <c r="J28" s="161"/>
      <c r="K28" s="161"/>
      <c r="L28" s="162">
        <f>SUM(L23:L27)</f>
        <v>24000.000000000004</v>
      </c>
      <c r="M28" s="163"/>
    </row>
    <row r="29" spans="1:13" ht="22.9" customHeight="1" x14ac:dyDescent="0.25">
      <c r="A29" s="1" t="s">
        <v>185</v>
      </c>
      <c r="B29" s="153">
        <v>198000</v>
      </c>
      <c r="C29" s="153"/>
      <c r="D29" s="115" t="s">
        <v>186</v>
      </c>
      <c r="E29" s="115"/>
      <c r="F29" s="115"/>
      <c r="G29" s="158">
        <f>30000+24000+10000</f>
        <v>64000</v>
      </c>
    </row>
    <row r="30" spans="1:13" ht="22.9" customHeight="1" x14ac:dyDescent="0.25">
      <c r="A30" s="1" t="s">
        <v>187</v>
      </c>
      <c r="B30" s="153">
        <v>85500</v>
      </c>
      <c r="C30" s="153"/>
      <c r="D30" s="115" t="s">
        <v>188</v>
      </c>
      <c r="E30" s="115"/>
      <c r="F30" s="115"/>
      <c r="G30" s="158">
        <v>29</v>
      </c>
      <c r="J30" s="164" t="s">
        <v>162</v>
      </c>
      <c r="K30" s="164">
        <v>10</v>
      </c>
    </row>
    <row r="31" spans="1:13" ht="22.9" customHeight="1" x14ac:dyDescent="0.25">
      <c r="C31" s="11"/>
      <c r="J31" s="164" t="s">
        <v>174</v>
      </c>
      <c r="K31" s="164">
        <v>19</v>
      </c>
    </row>
    <row r="32" spans="1:13" ht="22.9" customHeight="1" x14ac:dyDescent="0.25">
      <c r="A32" s="122" t="s">
        <v>189</v>
      </c>
      <c r="B32" s="122"/>
      <c r="C32" s="122"/>
      <c r="D32" s="122"/>
      <c r="E32" s="122"/>
      <c r="F32" s="122"/>
      <c r="G32" s="122"/>
      <c r="J32" s="164" t="s">
        <v>177</v>
      </c>
      <c r="K32" s="164">
        <v>30</v>
      </c>
    </row>
    <row r="33" spans="1:11" ht="22.9" customHeight="1" x14ac:dyDescent="0.25">
      <c r="A33" s="12" t="s">
        <v>92</v>
      </c>
      <c r="B33" s="116" t="s">
        <v>167</v>
      </c>
      <c r="C33" s="116"/>
      <c r="D33" s="149" t="s">
        <v>190</v>
      </c>
      <c r="E33" s="150"/>
      <c r="F33" s="151"/>
      <c r="G33" s="12" t="s">
        <v>25</v>
      </c>
      <c r="J33" s="164" t="s">
        <v>180</v>
      </c>
      <c r="K33" s="164">
        <v>24</v>
      </c>
    </row>
    <row r="34" spans="1:11" x14ac:dyDescent="0.25">
      <c r="A34" s="1" t="str">
        <f>D23</f>
        <v>Nombre de références matières premières</v>
      </c>
      <c r="B34" s="153">
        <f>B23+B28</f>
        <v>592980</v>
      </c>
      <c r="C34" s="153"/>
      <c r="D34" s="115">
        <f>G23</f>
        <v>6</v>
      </c>
      <c r="E34" s="115"/>
      <c r="F34" s="115"/>
      <c r="G34" s="165">
        <f>B34/D34</f>
        <v>98830</v>
      </c>
      <c r="J34" s="164" t="s">
        <v>163</v>
      </c>
      <c r="K34" s="164">
        <v>100</v>
      </c>
    </row>
    <row r="35" spans="1:11" x14ac:dyDescent="0.25">
      <c r="A35" s="1" t="str">
        <f>D24</f>
        <v>Nombre de lots mis en fabrication</v>
      </c>
      <c r="B35" s="153">
        <f>B24+B26</f>
        <v>540200</v>
      </c>
      <c r="C35" s="153"/>
      <c r="D35" s="115">
        <f>G24</f>
        <v>183</v>
      </c>
      <c r="E35" s="115"/>
      <c r="F35" s="115"/>
      <c r="G35" s="165">
        <f>B35/D35</f>
        <v>2951.9125683060111</v>
      </c>
      <c r="J35" s="164" t="s">
        <v>191</v>
      </c>
      <c r="K35" s="164">
        <f>SUM(K30:K34)</f>
        <v>183</v>
      </c>
    </row>
    <row r="36" spans="1:11" x14ac:dyDescent="0.25">
      <c r="A36" s="1" t="str">
        <f>D25</f>
        <v>Nombre de modèles de produits finis</v>
      </c>
      <c r="B36" s="153">
        <f>B25</f>
        <v>395000</v>
      </c>
      <c r="C36" s="153"/>
      <c r="D36" s="115">
        <v>5</v>
      </c>
      <c r="E36" s="115"/>
      <c r="F36" s="115"/>
      <c r="G36" s="165">
        <f>B36/D36</f>
        <v>79000</v>
      </c>
    </row>
    <row r="37" spans="1:11" x14ac:dyDescent="0.25">
      <c r="A37" s="1" t="str">
        <f>D27</f>
        <v>Nombre d'heures</v>
      </c>
      <c r="B37" s="153">
        <f>B27</f>
        <v>3195340</v>
      </c>
      <c r="C37" s="153"/>
      <c r="D37" s="115">
        <f>G27</f>
        <v>24000</v>
      </c>
      <c r="E37" s="115"/>
      <c r="F37" s="115"/>
      <c r="G37" s="165">
        <f>B37/D37</f>
        <v>133.13916666666665</v>
      </c>
    </row>
    <row r="38" spans="1:11" ht="22.9" customHeight="1" x14ac:dyDescent="0.25">
      <c r="A38" s="1" t="str">
        <f>D29</f>
        <v>Nombre de produits pour les magasins spécialisés</v>
      </c>
      <c r="B38" s="153">
        <f>B29</f>
        <v>198000</v>
      </c>
      <c r="C38" s="153"/>
      <c r="D38" s="115">
        <f>G29</f>
        <v>64000</v>
      </c>
      <c r="E38" s="115"/>
      <c r="F38" s="115"/>
      <c r="G38" s="165">
        <f t="shared" ref="G38:G39" si="1">B38/D38</f>
        <v>3.09375</v>
      </c>
    </row>
    <row r="39" spans="1:11" ht="22.9" customHeight="1" x14ac:dyDescent="0.25">
      <c r="A39" s="1" t="str">
        <f>D30</f>
        <v>Nombre de lots pour les grands magasins</v>
      </c>
      <c r="B39" s="153">
        <f>B30</f>
        <v>85500</v>
      </c>
      <c r="C39" s="153"/>
      <c r="D39" s="115">
        <f>G30</f>
        <v>29</v>
      </c>
      <c r="E39" s="115"/>
      <c r="F39" s="115"/>
      <c r="G39" s="165">
        <f t="shared" si="1"/>
        <v>2948.2758620689656</v>
      </c>
    </row>
    <row r="40" spans="1:11" ht="22.9" customHeight="1" x14ac:dyDescent="0.25"/>
    <row r="41" spans="1:11" ht="22.9" customHeight="1" x14ac:dyDescent="0.25">
      <c r="A41" s="122" t="s">
        <v>192</v>
      </c>
      <c r="B41" s="122"/>
      <c r="C41" s="122"/>
      <c r="D41" s="122"/>
      <c r="E41" s="122"/>
      <c r="F41" s="122"/>
      <c r="G41" s="122"/>
    </row>
    <row r="42" spans="1:11" ht="22.9" customHeight="1" x14ac:dyDescent="0.25">
      <c r="A42" s="1"/>
      <c r="B42" s="141" t="s">
        <v>193</v>
      </c>
      <c r="C42" s="141"/>
      <c r="D42" s="141"/>
      <c r="E42" s="141" t="s">
        <v>194</v>
      </c>
      <c r="F42" s="141"/>
      <c r="G42" s="141"/>
    </row>
    <row r="43" spans="1:11" ht="22.9" customHeight="1" x14ac:dyDescent="0.25">
      <c r="A43" s="1" t="s">
        <v>92</v>
      </c>
      <c r="B43" s="142" t="s">
        <v>0</v>
      </c>
      <c r="C43" s="142" t="s">
        <v>1</v>
      </c>
      <c r="D43" s="142" t="s">
        <v>2</v>
      </c>
      <c r="E43" s="142" t="s">
        <v>0</v>
      </c>
      <c r="F43" s="166" t="s">
        <v>1</v>
      </c>
      <c r="G43" s="142" t="s">
        <v>2</v>
      </c>
    </row>
    <row r="44" spans="1:11" ht="22.9" customHeight="1" x14ac:dyDescent="0.25">
      <c r="A44" s="1" t="str">
        <f>A34</f>
        <v>Nombre de références matières premières</v>
      </c>
      <c r="B44" s="167">
        <v>0.65</v>
      </c>
      <c r="C44" s="168">
        <f>G34</f>
        <v>98830</v>
      </c>
      <c r="D44" s="169">
        <f>B44*C44</f>
        <v>64239.5</v>
      </c>
      <c r="E44" s="170">
        <v>2.48333</v>
      </c>
      <c r="F44" s="168">
        <f>C44</f>
        <v>98830</v>
      </c>
      <c r="G44" s="168">
        <f>E44*F44</f>
        <v>245427.50390000001</v>
      </c>
    </row>
    <row r="45" spans="1:11" x14ac:dyDescent="0.25">
      <c r="A45" s="1" t="str">
        <f t="shared" ref="A45:A49" si="2">A35</f>
        <v>Nombre de lots mis en fabrication</v>
      </c>
      <c r="B45" s="167">
        <v>10</v>
      </c>
      <c r="C45" s="168">
        <f t="shared" ref="C45:C49" si="3">G35</f>
        <v>2951.9125683060111</v>
      </c>
      <c r="D45" s="169">
        <f t="shared" ref="D45:D49" si="4">B45*C45</f>
        <v>29519.125683060112</v>
      </c>
      <c r="E45" s="170">
        <v>100</v>
      </c>
      <c r="F45" s="168">
        <f t="shared" ref="F45:F49" si="5">C45</f>
        <v>2951.9125683060111</v>
      </c>
      <c r="G45" s="168">
        <f t="shared" ref="G45:G49" si="6">E45*F45</f>
        <v>295191.25683060108</v>
      </c>
    </row>
    <row r="46" spans="1:11" x14ac:dyDescent="0.25">
      <c r="A46" s="1" t="str">
        <f t="shared" si="2"/>
        <v>Nombre de modèles de produits finis</v>
      </c>
      <c r="B46" s="167">
        <v>1</v>
      </c>
      <c r="C46" s="168">
        <f t="shared" si="3"/>
        <v>79000</v>
      </c>
      <c r="D46" s="169">
        <f t="shared" si="4"/>
        <v>79000</v>
      </c>
      <c r="E46" s="170">
        <v>1</v>
      </c>
      <c r="F46" s="168">
        <f t="shared" si="5"/>
        <v>79000</v>
      </c>
      <c r="G46" s="168">
        <f t="shared" si="6"/>
        <v>79000</v>
      </c>
    </row>
    <row r="47" spans="1:11" x14ac:dyDescent="0.25">
      <c r="A47" s="1" t="str">
        <f t="shared" si="2"/>
        <v>Nombre d'heures</v>
      </c>
      <c r="B47" s="167">
        <f>B6</f>
        <v>5416.666666666667</v>
      </c>
      <c r="C47" s="168">
        <f t="shared" si="3"/>
        <v>133.13916666666665</v>
      </c>
      <c r="D47" s="169">
        <f t="shared" si="4"/>
        <v>721170.48611111112</v>
      </c>
      <c r="E47" s="167">
        <f>E6</f>
        <v>1666.6666666666665</v>
      </c>
      <c r="F47" s="168">
        <f t="shared" si="5"/>
        <v>133.13916666666665</v>
      </c>
      <c r="G47" s="168">
        <f t="shared" si="6"/>
        <v>221898.61111111107</v>
      </c>
    </row>
    <row r="48" spans="1:11" x14ac:dyDescent="0.25">
      <c r="A48" s="1" t="str">
        <f t="shared" si="2"/>
        <v>Nombre de produits pour les magasins spécialisés</v>
      </c>
      <c r="B48" s="167">
        <v>0</v>
      </c>
      <c r="C48" s="168">
        <f t="shared" si="3"/>
        <v>3.09375</v>
      </c>
      <c r="D48" s="169">
        <f t="shared" si="4"/>
        <v>0</v>
      </c>
      <c r="E48" s="170">
        <v>10000</v>
      </c>
      <c r="F48" s="168">
        <f t="shared" si="5"/>
        <v>3.09375</v>
      </c>
      <c r="G48" s="168">
        <f t="shared" si="6"/>
        <v>30937.5</v>
      </c>
    </row>
    <row r="49" spans="1:10" x14ac:dyDescent="0.25">
      <c r="A49" s="1" t="str">
        <f t="shared" si="2"/>
        <v>Nombre de lots pour les grands magasins</v>
      </c>
      <c r="B49" s="167">
        <v>10</v>
      </c>
      <c r="C49" s="168">
        <f t="shared" si="3"/>
        <v>2948.2758620689656</v>
      </c>
      <c r="D49" s="169">
        <f t="shared" si="4"/>
        <v>29482.758620689656</v>
      </c>
      <c r="E49" s="170">
        <v>0</v>
      </c>
      <c r="F49" s="168">
        <f t="shared" si="5"/>
        <v>2948.2758620689656</v>
      </c>
      <c r="G49" s="168">
        <f t="shared" si="6"/>
        <v>0</v>
      </c>
    </row>
    <row r="50" spans="1:10" x14ac:dyDescent="0.25">
      <c r="A50" s="12" t="s">
        <v>195</v>
      </c>
      <c r="B50" s="99">
        <v>50000</v>
      </c>
      <c r="C50" s="171">
        <f>D50/B50</f>
        <v>18.468237408297217</v>
      </c>
      <c r="D50" s="148">
        <f>SUM(D44:D49)</f>
        <v>923411.8704148609</v>
      </c>
      <c r="E50" s="99">
        <v>10000</v>
      </c>
      <c r="F50" s="171">
        <f>G50/E50</f>
        <v>87.245487184171211</v>
      </c>
      <c r="G50" s="148">
        <f>SUM(G44:G49)</f>
        <v>872454.87184171216</v>
      </c>
    </row>
    <row r="52" spans="1:10" x14ac:dyDescent="0.25">
      <c r="A52" s="122" t="s">
        <v>3</v>
      </c>
      <c r="B52" s="122"/>
      <c r="C52" s="122"/>
      <c r="D52" s="122"/>
      <c r="E52" s="122"/>
      <c r="F52" s="122"/>
      <c r="G52" s="122"/>
    </row>
    <row r="53" spans="1:10" x14ac:dyDescent="0.25">
      <c r="A53" s="1"/>
      <c r="B53" s="141" t="s">
        <v>162</v>
      </c>
      <c r="C53" s="141"/>
      <c r="D53" s="141"/>
      <c r="E53" s="141" t="s">
        <v>163</v>
      </c>
      <c r="F53" s="141"/>
      <c r="G53" s="141"/>
    </row>
    <row r="54" spans="1:10" x14ac:dyDescent="0.25">
      <c r="A54" s="1"/>
      <c r="B54" s="142" t="s">
        <v>0</v>
      </c>
      <c r="C54" s="142" t="s">
        <v>1</v>
      </c>
      <c r="D54" s="142" t="s">
        <v>2</v>
      </c>
      <c r="E54" s="142" t="s">
        <v>0</v>
      </c>
      <c r="F54" s="142" t="s">
        <v>1</v>
      </c>
      <c r="G54" s="142" t="s">
        <v>2</v>
      </c>
    </row>
    <row r="55" spans="1:10" x14ac:dyDescent="0.25">
      <c r="A55" s="1" t="s">
        <v>161</v>
      </c>
      <c r="B55" s="172">
        <f>50000</f>
        <v>50000</v>
      </c>
      <c r="C55" s="144">
        <f>D55/B55</f>
        <v>27.491666666666664</v>
      </c>
      <c r="D55" s="144">
        <f>D7</f>
        <v>1374583.3333333333</v>
      </c>
      <c r="E55" s="142">
        <v>10000</v>
      </c>
      <c r="F55" s="144">
        <f>G55/E55</f>
        <v>43.833333333333329</v>
      </c>
      <c r="G55" s="144">
        <f>G7</f>
        <v>438333.33333333331</v>
      </c>
    </row>
    <row r="56" spans="1:10" x14ac:dyDescent="0.25">
      <c r="A56" s="1" t="s">
        <v>195</v>
      </c>
      <c r="B56" s="98">
        <v>50000</v>
      </c>
      <c r="C56" s="144">
        <f>C50</f>
        <v>18.468237408297217</v>
      </c>
      <c r="D56" s="144">
        <f>D50</f>
        <v>923411.8704148609</v>
      </c>
      <c r="E56" s="98">
        <v>10000</v>
      </c>
      <c r="F56" s="144">
        <f>G56/E56</f>
        <v>87.245487184171211</v>
      </c>
      <c r="G56" s="144">
        <f>G50</f>
        <v>872454.87184171216</v>
      </c>
    </row>
    <row r="57" spans="1:10" x14ac:dyDescent="0.25">
      <c r="A57" s="173" t="s">
        <v>196</v>
      </c>
      <c r="B57" s="174">
        <v>50000</v>
      </c>
      <c r="C57" s="171">
        <f>D57/B57</f>
        <v>45.95990407496388</v>
      </c>
      <c r="D57" s="175">
        <f>D55+D56</f>
        <v>2297995.203748194</v>
      </c>
      <c r="E57" s="174">
        <v>10000</v>
      </c>
      <c r="F57" s="171">
        <f>G57/E57</f>
        <v>131.07882051750454</v>
      </c>
      <c r="G57" s="175">
        <f>G55+G56</f>
        <v>1310788.2051750454</v>
      </c>
      <c r="J57" s="176"/>
    </row>
    <row r="58" spans="1:10" x14ac:dyDescent="0.25">
      <c r="A58" s="140"/>
      <c r="B58" s="33"/>
      <c r="C58" s="177"/>
      <c r="D58" s="177"/>
      <c r="E58" s="33"/>
      <c r="F58" s="177"/>
      <c r="G58" s="177"/>
      <c r="J58" s="176"/>
    </row>
    <row r="59" spans="1:10" x14ac:dyDescent="0.25">
      <c r="A59" s="140"/>
      <c r="B59" s="33"/>
      <c r="C59" s="177"/>
      <c r="D59" s="177"/>
      <c r="E59" s="177"/>
      <c r="F59" s="177"/>
      <c r="G59" s="177"/>
    </row>
    <row r="60" spans="1:10" x14ac:dyDescent="0.25">
      <c r="A60" s="204" t="s">
        <v>197</v>
      </c>
      <c r="B60" s="33"/>
      <c r="C60" s="177"/>
      <c r="D60" s="177"/>
      <c r="E60" s="33"/>
      <c r="F60" s="177"/>
      <c r="G60" s="177"/>
      <c r="J60" s="177"/>
    </row>
    <row r="62" spans="1:10" x14ac:dyDescent="0.25">
      <c r="A62" s="12" t="s">
        <v>92</v>
      </c>
      <c r="B62" s="116" t="s">
        <v>167</v>
      </c>
      <c r="C62" s="116"/>
      <c r="D62" s="149" t="s">
        <v>198</v>
      </c>
      <c r="E62" s="150"/>
      <c r="F62" s="151"/>
      <c r="G62" s="12" t="s">
        <v>25</v>
      </c>
    </row>
    <row r="63" spans="1:10" x14ac:dyDescent="0.25">
      <c r="A63" s="1" t="str">
        <f>A35</f>
        <v>Nombre de lots mis en fabrication</v>
      </c>
      <c r="B63" s="178">
        <f>B35</f>
        <v>540200</v>
      </c>
      <c r="C63" s="179"/>
      <c r="D63" s="115">
        <f>183-100+10</f>
        <v>93</v>
      </c>
      <c r="E63" s="115"/>
      <c r="F63" s="115"/>
      <c r="G63" s="180">
        <f>B63/D63</f>
        <v>5808.6021505376348</v>
      </c>
      <c r="H63" t="s">
        <v>199</v>
      </c>
    </row>
    <row r="66" spans="1:9" x14ac:dyDescent="0.25">
      <c r="B66" s="141" t="s">
        <v>162</v>
      </c>
      <c r="C66" s="141"/>
      <c r="D66" s="141"/>
      <c r="E66" s="141" t="s">
        <v>163</v>
      </c>
      <c r="F66" s="141"/>
      <c r="G66" s="141"/>
    </row>
    <row r="67" spans="1:9" x14ac:dyDescent="0.25">
      <c r="A67" s="1" t="s">
        <v>200</v>
      </c>
      <c r="B67" s="181">
        <v>10</v>
      </c>
      <c r="C67" s="182">
        <f>C45</f>
        <v>2951.9125683060111</v>
      </c>
      <c r="D67" s="183">
        <f>B67*C67</f>
        <v>29519.125683060112</v>
      </c>
      <c r="E67" s="184">
        <v>100</v>
      </c>
      <c r="F67" s="185">
        <f t="shared" ref="F67" si="7">C67</f>
        <v>2951.9125683060111</v>
      </c>
      <c r="G67" s="185">
        <f t="shared" ref="G67" si="8">E67*F67</f>
        <v>295191.25683060108</v>
      </c>
    </row>
    <row r="68" spans="1:9" x14ac:dyDescent="0.25">
      <c r="A68" s="1" t="s">
        <v>201</v>
      </c>
      <c r="B68" s="186">
        <v>10</v>
      </c>
      <c r="C68" s="2">
        <f>G63</f>
        <v>5808.6021505376348</v>
      </c>
      <c r="D68" s="2">
        <f>B68*C68</f>
        <v>58086.021505376346</v>
      </c>
      <c r="E68" s="99">
        <v>10</v>
      </c>
      <c r="F68" s="187">
        <f>C68</f>
        <v>5808.6021505376348</v>
      </c>
      <c r="G68" s="187">
        <f>E68*F68</f>
        <v>58086.021505376346</v>
      </c>
    </row>
    <row r="69" spans="1:9" x14ac:dyDescent="0.25">
      <c r="A69" s="1" t="s">
        <v>202</v>
      </c>
      <c r="B69" s="1"/>
      <c r="C69" s="1"/>
      <c r="D69" s="188">
        <f>D68-D67</f>
        <v>28566.895822316234</v>
      </c>
      <c r="E69" s="12"/>
      <c r="F69" s="12"/>
      <c r="G69" s="189">
        <f>G68-G67</f>
        <v>-237105.23532522473</v>
      </c>
      <c r="H69" s="11"/>
    </row>
    <row r="70" spans="1:9" x14ac:dyDescent="0.25">
      <c r="D70" s="190">
        <f>D69/50000</f>
        <v>0.5713379164463247</v>
      </c>
      <c r="G70" s="190">
        <f>G69/10000</f>
        <v>-23.710523532522473</v>
      </c>
      <c r="I70" s="10" t="s">
        <v>203</v>
      </c>
    </row>
    <row r="72" spans="1:9" ht="27.75" customHeight="1" x14ac:dyDescent="0.25">
      <c r="C72" s="191" t="s">
        <v>204</v>
      </c>
      <c r="D72" s="191"/>
      <c r="E72" s="192" t="s">
        <v>205</v>
      </c>
      <c r="F72" s="192"/>
      <c r="G72" s="193" t="s">
        <v>206</v>
      </c>
    </row>
    <row r="73" spans="1:9" x14ac:dyDescent="0.25">
      <c r="B73" s="205" t="s">
        <v>162</v>
      </c>
      <c r="C73" s="3">
        <v>10</v>
      </c>
      <c r="D73" s="4">
        <f>C73*2951.91</f>
        <v>29519.1</v>
      </c>
      <c r="E73" s="194">
        <v>10</v>
      </c>
      <c r="F73" s="195">
        <f>E73*5808.6</f>
        <v>58086</v>
      </c>
      <c r="G73" s="196">
        <f>F73-D73</f>
        <v>28566.9</v>
      </c>
    </row>
    <row r="74" spans="1:9" x14ac:dyDescent="0.25">
      <c r="B74" s="205" t="s">
        <v>174</v>
      </c>
      <c r="C74" s="3">
        <v>19</v>
      </c>
      <c r="D74" s="4">
        <f t="shared" ref="D74:D77" si="9">C74*2951.91</f>
        <v>56086.289999999994</v>
      </c>
      <c r="E74" s="194">
        <v>19</v>
      </c>
      <c r="F74" s="195">
        <f t="shared" ref="F74:F77" si="10">E74*5808.6</f>
        <v>110363.40000000001</v>
      </c>
      <c r="G74" s="196">
        <f t="shared" ref="G74:G77" si="11">F74-D74</f>
        <v>54277.110000000015</v>
      </c>
    </row>
    <row r="75" spans="1:9" x14ac:dyDescent="0.25">
      <c r="B75" s="205" t="s">
        <v>177</v>
      </c>
      <c r="C75" s="3">
        <v>30</v>
      </c>
      <c r="D75" s="4">
        <f t="shared" si="9"/>
        <v>88557.299999999988</v>
      </c>
      <c r="E75" s="194">
        <v>30</v>
      </c>
      <c r="F75" s="195">
        <f t="shared" si="10"/>
        <v>174258</v>
      </c>
      <c r="G75" s="196">
        <f t="shared" si="11"/>
        <v>85700.700000000012</v>
      </c>
    </row>
    <row r="76" spans="1:9" x14ac:dyDescent="0.25">
      <c r="B76" s="205" t="s">
        <v>180</v>
      </c>
      <c r="C76" s="3">
        <v>24</v>
      </c>
      <c r="D76" s="4">
        <f t="shared" si="9"/>
        <v>70845.84</v>
      </c>
      <c r="E76" s="194">
        <v>24</v>
      </c>
      <c r="F76" s="195">
        <f t="shared" si="10"/>
        <v>139406.40000000002</v>
      </c>
      <c r="G76" s="196">
        <f t="shared" si="11"/>
        <v>68560.560000000027</v>
      </c>
    </row>
    <row r="77" spans="1:9" x14ac:dyDescent="0.25">
      <c r="B77" s="205" t="s">
        <v>163</v>
      </c>
      <c r="C77" s="3">
        <v>100</v>
      </c>
      <c r="D77" s="4">
        <f t="shared" si="9"/>
        <v>295191</v>
      </c>
      <c r="E77" s="194">
        <v>10</v>
      </c>
      <c r="F77" s="195">
        <f t="shared" si="10"/>
        <v>58086</v>
      </c>
      <c r="G77" s="197">
        <f t="shared" si="11"/>
        <v>-237105</v>
      </c>
    </row>
    <row r="78" spans="1:9" x14ac:dyDescent="0.25">
      <c r="C78" s="3"/>
      <c r="D78" s="198">
        <f>SUM(D73:D77)</f>
        <v>540199.53</v>
      </c>
      <c r="E78" s="194"/>
      <c r="F78" s="199">
        <f>SUM(F73:F77)</f>
        <v>540199.80000000005</v>
      </c>
      <c r="G78" s="200">
        <v>0</v>
      </c>
    </row>
    <row r="82" spans="1:7" x14ac:dyDescent="0.25">
      <c r="A82" s="98"/>
      <c r="B82" s="98" t="s">
        <v>162</v>
      </c>
      <c r="C82" s="98" t="s">
        <v>174</v>
      </c>
      <c r="D82" s="98" t="s">
        <v>177</v>
      </c>
      <c r="E82" s="98" t="s">
        <v>180</v>
      </c>
      <c r="F82" s="98" t="s">
        <v>163</v>
      </c>
    </row>
    <row r="83" spans="1:7" x14ac:dyDescent="0.25">
      <c r="A83" s="98" t="s">
        <v>207</v>
      </c>
      <c r="B83" s="98">
        <f>1/5</f>
        <v>0.2</v>
      </c>
      <c r="C83" s="98">
        <f t="shared" ref="C83:F84" si="12">1/5</f>
        <v>0.2</v>
      </c>
      <c r="D83" s="98">
        <f t="shared" si="12"/>
        <v>0.2</v>
      </c>
      <c r="E83" s="98">
        <f t="shared" si="12"/>
        <v>0.2</v>
      </c>
      <c r="F83" s="98">
        <f t="shared" si="12"/>
        <v>0.2</v>
      </c>
    </row>
    <row r="84" spans="1:7" x14ac:dyDescent="0.25">
      <c r="A84" s="98" t="s">
        <v>208</v>
      </c>
      <c r="B84" s="98">
        <f>1/5</f>
        <v>0.2</v>
      </c>
      <c r="C84" s="98">
        <f t="shared" si="12"/>
        <v>0.2</v>
      </c>
      <c r="D84" s="98">
        <f t="shared" si="12"/>
        <v>0.2</v>
      </c>
      <c r="E84" s="98">
        <f t="shared" si="12"/>
        <v>0.2</v>
      </c>
      <c r="F84" s="98">
        <f t="shared" si="12"/>
        <v>0.2</v>
      </c>
    </row>
    <row r="85" spans="1:7" x14ac:dyDescent="0.25">
      <c r="A85" s="98" t="s">
        <v>209</v>
      </c>
      <c r="B85" s="98">
        <f>1/4</f>
        <v>0.25</v>
      </c>
      <c r="C85" s="98"/>
      <c r="D85" s="98">
        <f>B85</f>
        <v>0.25</v>
      </c>
      <c r="E85" s="98">
        <v>0.25</v>
      </c>
      <c r="F85" s="98">
        <f t="shared" ref="F85" si="13">D85</f>
        <v>0.25</v>
      </c>
    </row>
    <row r="86" spans="1:7" x14ac:dyDescent="0.25">
      <c r="A86" s="98" t="s">
        <v>210</v>
      </c>
      <c r="B86" s="98"/>
      <c r="C86" s="98">
        <f>1/3</f>
        <v>0.33333333333333331</v>
      </c>
      <c r="D86" s="98"/>
      <c r="E86" s="98">
        <f>1/3</f>
        <v>0.33333333333333331</v>
      </c>
      <c r="F86" s="98">
        <f>1/3</f>
        <v>0.33333333333333331</v>
      </c>
    </row>
    <row r="87" spans="1:7" x14ac:dyDescent="0.25">
      <c r="A87" s="98" t="s">
        <v>211</v>
      </c>
      <c r="B87" s="98"/>
      <c r="C87" s="98"/>
      <c r="D87" s="98">
        <f>1/2</f>
        <v>0.5</v>
      </c>
      <c r="E87" s="98"/>
      <c r="F87" s="98">
        <f>1/2</f>
        <v>0.5</v>
      </c>
    </row>
    <row r="88" spans="1:7" x14ac:dyDescent="0.25">
      <c r="A88" s="98" t="s">
        <v>212</v>
      </c>
      <c r="B88" s="98"/>
      <c r="C88" s="98"/>
      <c r="D88" s="98"/>
      <c r="E88" s="98"/>
      <c r="F88" s="98">
        <v>1</v>
      </c>
    </row>
    <row r="90" spans="1:7" x14ac:dyDescent="0.25">
      <c r="A90" s="201">
        <f>+COUNTA(A83:A88)</f>
        <v>6</v>
      </c>
      <c r="B90" s="202">
        <f>SUM(B83:B88)</f>
        <v>0.65</v>
      </c>
      <c r="C90" s="202">
        <f t="shared" ref="C90:F90" si="14">SUM(C83:C88)</f>
        <v>0.73333333333333339</v>
      </c>
      <c r="D90" s="202">
        <f t="shared" si="14"/>
        <v>1.1499999999999999</v>
      </c>
      <c r="E90" s="202">
        <f t="shared" si="14"/>
        <v>0.98333333333333339</v>
      </c>
      <c r="F90" s="202">
        <f t="shared" si="14"/>
        <v>2.4833333333333334</v>
      </c>
      <c r="G90" s="203">
        <f>SUM(B90:F90)</f>
        <v>6</v>
      </c>
    </row>
  </sheetData>
  <mergeCells count="52">
    <mergeCell ref="B66:D66"/>
    <mergeCell ref="E66:G66"/>
    <mergeCell ref="C72:D72"/>
    <mergeCell ref="E72:F72"/>
    <mergeCell ref="B53:D53"/>
    <mergeCell ref="E53:G53"/>
    <mergeCell ref="B62:C62"/>
    <mergeCell ref="D62:F62"/>
    <mergeCell ref="B63:C63"/>
    <mergeCell ref="D63:F63"/>
    <mergeCell ref="B39:C39"/>
    <mergeCell ref="D39:F39"/>
    <mergeCell ref="A41:G41"/>
    <mergeCell ref="B42:D42"/>
    <mergeCell ref="E42:G42"/>
    <mergeCell ref="A52:G52"/>
    <mergeCell ref="B36:C36"/>
    <mergeCell ref="D36:F36"/>
    <mergeCell ref="B37:C37"/>
    <mergeCell ref="D37:F37"/>
    <mergeCell ref="B38:C38"/>
    <mergeCell ref="D38:F38"/>
    <mergeCell ref="B33:C33"/>
    <mergeCell ref="D33:F33"/>
    <mergeCell ref="B34:C34"/>
    <mergeCell ref="D34:F34"/>
    <mergeCell ref="B35:C35"/>
    <mergeCell ref="D35:F35"/>
    <mergeCell ref="I28:K28"/>
    <mergeCell ref="B29:C29"/>
    <mergeCell ref="D29:F29"/>
    <mergeCell ref="B30:C30"/>
    <mergeCell ref="D30:F30"/>
    <mergeCell ref="A32:G32"/>
    <mergeCell ref="B26:C26"/>
    <mergeCell ref="D26:F26"/>
    <mergeCell ref="B27:C27"/>
    <mergeCell ref="D27:F27"/>
    <mergeCell ref="B28:C28"/>
    <mergeCell ref="D28:F28"/>
    <mergeCell ref="B23:C23"/>
    <mergeCell ref="D23:F23"/>
    <mergeCell ref="B24:C24"/>
    <mergeCell ref="D24:F24"/>
    <mergeCell ref="B25:C25"/>
    <mergeCell ref="D25:F25"/>
    <mergeCell ref="A2:G2"/>
    <mergeCell ref="B3:D3"/>
    <mergeCell ref="E3:G3"/>
    <mergeCell ref="A21:G21"/>
    <mergeCell ref="B22:C22"/>
    <mergeCell ref="D22:F2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64E7A5-BA4C-4348-BCAF-4C43793481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3C4F27-1AFB-449D-BDE2-D9E6F024693A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b6f2b70-d5a1-4544-a145-5b4293f1365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70148AF-84B0-4DF4-A51C-F67210ADA6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Corrigé exemple cours</vt:lpstr>
      <vt:lpstr>Exercice 1</vt:lpstr>
      <vt:lpstr>Exercice 2</vt:lpstr>
      <vt:lpstr>Exercice 3</vt:lpstr>
      <vt:lpstr>Exercice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 Noel</cp:lastModifiedBy>
  <cp:lastPrinted>2023-09-26T08:17:32Z</cp:lastPrinted>
  <dcterms:created xsi:type="dcterms:W3CDTF">2018-06-08T06:24:04Z</dcterms:created>
  <dcterms:modified xsi:type="dcterms:W3CDTF">2024-07-26T13:37:27Z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e5f01b5f-9e63-41a3-871a-6cb2f979cff3</vt:lpwstr>
  </property>
  <property fmtid="{D5CDD505-2E9C-101B-9397-08002B2CF9AE}" pid="3" name="ContentTypeId">
    <vt:lpwstr>0x01010021529F2146C75048A695AB3F03D98EF9</vt:lpwstr>
  </property>
</Properties>
</file>