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https://d.docs.live.net/085c9127a006cce5/Enseignement/IUT BRETIGNY GEA/Cours BUT GEA 1ère année/R235 Contrôle de Gestion Aide Réussite/"/>
    </mc:Choice>
  </mc:AlternateContent>
  <xr:revisionPtr revIDLastSave="3" documentId="8_{0AFFF9BD-1A2D-4ADB-BE03-5739074B9011}" xr6:coauthVersionLast="36" xr6:coauthVersionMax="36" xr10:uidLastSave="{8190FDEF-FCD4-4B53-9C52-1CE24C07E7BF}"/>
  <bookViews>
    <workbookView xWindow="0" yWindow="0" windowWidth="23040" windowHeight="939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J43" i="1" s="1"/>
  <c r="J49" i="1" s="1"/>
  <c r="N58" i="1"/>
  <c r="M58" i="1"/>
  <c r="O58" i="1"/>
  <c r="O57" i="1"/>
  <c r="N57" i="1"/>
  <c r="M57" i="1"/>
  <c r="N52" i="1"/>
  <c r="M52" i="1"/>
  <c r="O52" i="1"/>
  <c r="O51" i="1"/>
  <c r="M51" i="1"/>
  <c r="O50" i="1"/>
  <c r="M50" i="1"/>
  <c r="N49" i="1"/>
  <c r="O49" i="1"/>
  <c r="M49" i="1"/>
  <c r="O48" i="1"/>
  <c r="M48" i="1"/>
  <c r="O47" i="1"/>
  <c r="M47" i="1"/>
  <c r="O46" i="1"/>
  <c r="M46" i="1"/>
  <c r="O44" i="1"/>
  <c r="M44" i="1"/>
  <c r="O43" i="1"/>
  <c r="M43" i="1"/>
  <c r="O42" i="1"/>
  <c r="M42" i="1"/>
  <c r="O41" i="1"/>
  <c r="N41" i="1"/>
  <c r="M41" i="1"/>
  <c r="N51" i="1"/>
  <c r="N50" i="1"/>
  <c r="N47" i="1"/>
  <c r="N48" i="1"/>
  <c r="N46" i="1"/>
  <c r="N43" i="1"/>
  <c r="N44" i="1"/>
  <c r="N42" i="1"/>
  <c r="H58" i="1"/>
  <c r="H57" i="1"/>
  <c r="H52" i="1"/>
  <c r="J51" i="1"/>
  <c r="H51" i="1"/>
  <c r="J50" i="1"/>
  <c r="H50" i="1"/>
  <c r="H49" i="1"/>
  <c r="J47" i="1"/>
  <c r="J48" i="1"/>
  <c r="J46" i="1"/>
  <c r="H48" i="1"/>
  <c r="H47" i="1"/>
  <c r="H46" i="1"/>
  <c r="J44" i="1"/>
  <c r="H44" i="1"/>
  <c r="J42" i="1"/>
  <c r="H42" i="1"/>
  <c r="J41" i="1"/>
  <c r="I41" i="1"/>
  <c r="H41" i="1"/>
  <c r="I51" i="1"/>
  <c r="I50" i="1"/>
  <c r="I47" i="1"/>
  <c r="I48" i="1"/>
  <c r="I46" i="1"/>
  <c r="I43" i="1"/>
  <c r="I44" i="1"/>
  <c r="I42" i="1"/>
  <c r="C58" i="1"/>
  <c r="B58" i="1"/>
  <c r="D58" i="1"/>
  <c r="D57" i="1"/>
  <c r="C57" i="1"/>
  <c r="B57" i="1"/>
  <c r="C52" i="1"/>
  <c r="B52" i="1"/>
  <c r="D52" i="1"/>
  <c r="D51" i="1"/>
  <c r="C51" i="1"/>
  <c r="B51" i="1"/>
  <c r="D50" i="1"/>
  <c r="B50" i="1"/>
  <c r="C49" i="1"/>
  <c r="B49" i="1"/>
  <c r="D49" i="1"/>
  <c r="D47" i="1"/>
  <c r="D48" i="1"/>
  <c r="D46" i="1"/>
  <c r="B48" i="1"/>
  <c r="B47" i="1"/>
  <c r="B46" i="1"/>
  <c r="C48" i="1"/>
  <c r="C47" i="1"/>
  <c r="C46" i="1"/>
  <c r="D44" i="1"/>
  <c r="B44" i="1"/>
  <c r="D43" i="1"/>
  <c r="B43" i="1"/>
  <c r="D42" i="1"/>
  <c r="C42" i="1"/>
  <c r="B42" i="1"/>
  <c r="D41" i="1"/>
  <c r="C41" i="1"/>
  <c r="B41" i="1"/>
  <c r="H34" i="1"/>
  <c r="J34" i="1"/>
  <c r="J33" i="1"/>
  <c r="I33" i="1"/>
  <c r="H33" i="1"/>
  <c r="J32" i="1"/>
  <c r="I32" i="1"/>
  <c r="H32" i="1"/>
  <c r="I30" i="1"/>
  <c r="J30" i="1"/>
  <c r="H30" i="1"/>
  <c r="I29" i="1"/>
  <c r="J29" i="1"/>
  <c r="H29" i="1"/>
  <c r="C30" i="1"/>
  <c r="D30" i="1"/>
  <c r="B30" i="1"/>
  <c r="D29" i="1"/>
  <c r="C29" i="1"/>
  <c r="B29" i="1"/>
  <c r="D28" i="1"/>
  <c r="B4" i="1"/>
  <c r="B5" i="1"/>
  <c r="M24" i="1"/>
  <c r="M23" i="1"/>
  <c r="M20" i="1"/>
  <c r="M19" i="1"/>
  <c r="H23" i="1"/>
  <c r="H22" i="1"/>
  <c r="H19" i="1"/>
  <c r="H18" i="1"/>
  <c r="B23" i="1"/>
  <c r="B22" i="1"/>
  <c r="B19" i="1"/>
  <c r="B18" i="1"/>
  <c r="M13" i="1"/>
  <c r="M12" i="1"/>
  <c r="N11" i="1"/>
  <c r="H13" i="1"/>
  <c r="H12" i="1"/>
  <c r="I11" i="1"/>
  <c r="C11" i="1"/>
  <c r="B13" i="1"/>
  <c r="B12" i="1"/>
  <c r="O56" i="1"/>
  <c r="J56" i="1"/>
  <c r="F4" i="1"/>
  <c r="F5" i="1" s="1"/>
  <c r="E4" i="1"/>
  <c r="E5" i="1" s="1"/>
  <c r="D4" i="1"/>
  <c r="D5" i="1" s="1"/>
  <c r="C4" i="1"/>
  <c r="C5" i="1" s="1"/>
  <c r="I49" i="1" l="1"/>
  <c r="J52" i="1"/>
  <c r="I52" i="1" s="1"/>
  <c r="I57" i="1" s="1"/>
  <c r="J57" i="1" s="1"/>
  <c r="J58" i="1" s="1"/>
  <c r="I12" i="1"/>
  <c r="C12" i="1"/>
  <c r="D12" i="1" s="1"/>
  <c r="D13" i="1" s="1"/>
  <c r="C13" i="1" s="1"/>
  <c r="C18" i="1" s="1"/>
  <c r="D18" i="1" s="1"/>
  <c r="D19" i="1" s="1"/>
  <c r="C19" i="1" s="1"/>
  <c r="C21" i="1" s="1"/>
  <c r="D56" i="1"/>
  <c r="I58" i="1" l="1"/>
  <c r="H68" i="1"/>
  <c r="C22" i="1"/>
  <c r="D22" i="1" s="1"/>
  <c r="D21" i="1"/>
  <c r="J12" i="1"/>
  <c r="J13" i="1" s="1"/>
  <c r="I13" i="1" s="1"/>
  <c r="I18" i="1" s="1"/>
  <c r="J18" i="1" s="1"/>
  <c r="J19" i="1" s="1"/>
  <c r="N12" i="1"/>
  <c r="O12" i="1" s="1"/>
  <c r="O13" i="1" s="1"/>
  <c r="N13" i="1" s="1"/>
  <c r="N19" i="1" s="1"/>
  <c r="O19" i="1" s="1"/>
  <c r="O20" i="1" s="1"/>
  <c r="N20" i="1" s="1"/>
  <c r="D23" i="1" l="1"/>
  <c r="I19" i="1"/>
  <c r="I21" i="1" s="1"/>
  <c r="J21" i="1" s="1"/>
  <c r="J22" i="1" s="1"/>
  <c r="I22" i="1" s="1"/>
  <c r="N23" i="1"/>
  <c r="O23" i="1" s="1"/>
  <c r="N22" i="1"/>
  <c r="O22" i="1" s="1"/>
  <c r="J23" i="1" l="1"/>
  <c r="O24" i="1"/>
</calcChain>
</file>

<file path=xl/sharedStrings.xml><?xml version="1.0" encoding="utf-8"?>
<sst xmlns="http://schemas.openxmlformats.org/spreadsheetml/2006/main" count="160" uniqueCount="54">
  <si>
    <t>Approvisionnement</t>
  </si>
  <si>
    <t>Pressage</t>
  </si>
  <si>
    <t>Conservation</t>
  </si>
  <si>
    <t>Administration</t>
  </si>
  <si>
    <t>Coût d'unité d'œuvre</t>
  </si>
  <si>
    <t>Conditionnement</t>
  </si>
  <si>
    <t>Centres</t>
  </si>
  <si>
    <t>Nombre d'unités d'œuvres</t>
  </si>
  <si>
    <t>Charges indirectes</t>
  </si>
  <si>
    <t>Quantité</t>
  </si>
  <si>
    <t>Montant</t>
  </si>
  <si>
    <t>COUT D'ACHAT DES ORANGES</t>
  </si>
  <si>
    <t>Achat</t>
  </si>
  <si>
    <t>Charges indirectes d'approvisionnement</t>
  </si>
  <si>
    <t>Coût d'achat</t>
  </si>
  <si>
    <t>COUT D'ACHAT DES BOUTEILLES</t>
  </si>
  <si>
    <t>ENTREES</t>
  </si>
  <si>
    <t>Achats du mois</t>
  </si>
  <si>
    <t>TOTAL ENTREES</t>
  </si>
  <si>
    <t>SORTIE</t>
  </si>
  <si>
    <t>Consommation pour la production</t>
  </si>
  <si>
    <t>Stock final</t>
  </si>
  <si>
    <t>Stock initial</t>
  </si>
  <si>
    <t>FICHE DE STOCK DES ORANGES</t>
  </si>
  <si>
    <t>TOTAL SORTIE</t>
  </si>
  <si>
    <t>FICHE DE STOCK DES BOUTEILLES</t>
  </si>
  <si>
    <t>Prix Unitaire</t>
  </si>
  <si>
    <t xml:space="preserve">Charges directes  : </t>
  </si>
  <si>
    <t>Consommation d'orange</t>
  </si>
  <si>
    <t>Consommation de bouteille</t>
  </si>
  <si>
    <t>Main d'œuvre "Sélection"</t>
  </si>
  <si>
    <t>Main d'œuvre "Conditionnement"</t>
  </si>
  <si>
    <t xml:space="preserve">Charges Indirectes : </t>
  </si>
  <si>
    <t>COUT DE PRODUCTION</t>
  </si>
  <si>
    <t>Frais de distribution</t>
  </si>
  <si>
    <t>Charges d'administration</t>
  </si>
  <si>
    <t>COUT DE REVIENT</t>
  </si>
  <si>
    <t>RESULTAT ANALYTIQUE DU JUS D'ORANGE</t>
  </si>
  <si>
    <t>CA</t>
  </si>
  <si>
    <t>RESULTAT ANALYTIQUE</t>
  </si>
  <si>
    <t>TABLEAU DE REPARTITION DES CHARGES INDIRECTES</t>
  </si>
  <si>
    <t>COUT D'ACHAT DES CLEMENTINES</t>
  </si>
  <si>
    <t>COUT D'ACHAT DES PAMPLEMOUSSES</t>
  </si>
  <si>
    <t>FICHE DE STOCK DES CLEMENTINES</t>
  </si>
  <si>
    <t>FICHE DE STOCK DES PAMPLEMOUSSES</t>
  </si>
  <si>
    <t>COUT DE REVIENT DES JUS DE CLEMENTINES</t>
  </si>
  <si>
    <t>COUT DE REVIENT DES JUS D'ORANGES</t>
  </si>
  <si>
    <t>Consommation de clémentines</t>
  </si>
  <si>
    <t>RESULTAT ANALYTIQUE DU JUS DE CLEMENTINES</t>
  </si>
  <si>
    <t>COUT DE REVIENT DES JUS DE PAMPLEMOUSSE</t>
  </si>
  <si>
    <t>Consommation de pamplemousse</t>
  </si>
  <si>
    <t>RESULTAT ANALYTIQUE DU JUS DE PAMPLEMOUSSE</t>
  </si>
  <si>
    <t>RESULTAT GLOBAL DE LA SOCIETE</t>
  </si>
  <si>
    <t>Temps de séléction de la clémentines en seconde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</si>
</sst>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44" fontId="0" fillId="0" borderId="1" xfId="1" applyFont="1" applyBorder="1"/>
    <xf numFmtId="1" fontId="0" fillId="0" borderId="1" xfId="1" applyNumberFormat="1" applyFont="1" applyBorder="1"/>
    <xf numFmtId="0" fontId="0" fillId="0" borderId="1" xfId="1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44" fontId="0" fillId="0" borderId="1" xfId="0" applyNumberFormat="1" applyBorder="1"/>
    <xf numFmtId="0" fontId="2" fillId="2" borderId="1" xfId="0" applyFont="1" applyFill="1" applyBorder="1"/>
    <xf numFmtId="44" fontId="2" fillId="2" borderId="1" xfId="0" applyNumberFormat="1" applyFont="1" applyFill="1" applyBorder="1"/>
    <xf numFmtId="44" fontId="2" fillId="2" borderId="1" xfId="1" applyNumberFormat="1" applyFont="1" applyFill="1" applyBorder="1"/>
    <xf numFmtId="0" fontId="0" fillId="0" borderId="1" xfId="0" applyBorder="1" applyAlignment="1">
      <alignment horizontal="center"/>
    </xf>
    <xf numFmtId="0" fontId="0" fillId="0" borderId="5" xfId="0" applyBorder="1"/>
    <xf numFmtId="44" fontId="0" fillId="0" borderId="5" xfId="0" applyNumberFormat="1" applyBorder="1"/>
    <xf numFmtId="10" fontId="0" fillId="0" borderId="1" xfId="1" applyNumberFormat="1" applyFont="1" applyBorder="1"/>
    <xf numFmtId="44" fontId="2" fillId="2" borderId="1" xfId="1" applyFont="1" applyFill="1" applyBorder="1"/>
    <xf numFmtId="0" fontId="2" fillId="0" borderId="1" xfId="0" applyFont="1" applyFill="1" applyBorder="1"/>
    <xf numFmtId="44" fontId="2" fillId="0" borderId="1" xfId="1" applyNumberFormat="1" applyFont="1" applyFill="1" applyBorder="1"/>
    <xf numFmtId="44" fontId="2" fillId="0" borderId="1" xfId="1" applyFont="1" applyFill="1" applyBorder="1"/>
    <xf numFmtId="0" fontId="0" fillId="0" borderId="1" xfId="0" applyFill="1" applyBorder="1"/>
    <xf numFmtId="44" fontId="2" fillId="0" borderId="1" xfId="0" applyNumberFormat="1" applyFont="1" applyFill="1" applyBorder="1"/>
    <xf numFmtId="44" fontId="0" fillId="0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4" fontId="0" fillId="0" borderId="0" xfId="0" applyNumberFormat="1"/>
    <xf numFmtId="0" fontId="3" fillId="0" borderId="1" xfId="0" applyFont="1" applyBorder="1"/>
    <xf numFmtId="2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/>
    <xf numFmtId="44" fontId="2" fillId="3" borderId="1" xfId="0" applyNumberFormat="1" applyFont="1" applyFill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1196340</xdr:colOff>
      <xdr:row>0</xdr:row>
      <xdr:rowOff>65869</xdr:rowOff>
    </xdr:from>
    <xdr:to>
      <xdr:col>6</xdr:col>
      <xdr:colOff>2672714</xdr:colOff>
      <xdr:row>5</xdr:row>
      <xdr:rowOff>138893</xdr:rowOff>
    </xdr:to>
    <xdr:pic>
      <xdr:nvPicPr>
        <xdr:cNvPr id="2" name="Image 1" descr="Résultat de recherche d'images pour &quot;bouteille de jus d'orange FRAIS&quot;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839"/>
        <a:stretch/>
      </xdr:blipFill>
      <xdr:spPr bwMode="auto">
        <a:xfrm>
          <a:off x="9288780" y="65869"/>
          <a:ext cx="1539239" cy="987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showGridLines="0" tabSelected="1" workbookViewId="0">
      <selection activeCell="L65" sqref="L65"/>
    </sheetView>
  </sheetViews>
  <sheetFormatPr baseColWidth="10" defaultRowHeight="15" x14ac:dyDescent="0.25"/>
  <cols>
    <col min="1" max="1" width="36.7109375" customWidth="1"/>
    <col min="2" max="2" width="18.7109375" customWidth="1"/>
    <col min="3" max="3" width="14.28515625" customWidth="1"/>
    <col min="4" max="4" width="18.140625" customWidth="1"/>
    <col min="5" max="5" width="15" customWidth="1"/>
    <col min="6" max="6" width="15.140625" customWidth="1"/>
    <col min="7" max="7" width="40.5703125" customWidth="1"/>
    <col min="8" max="8" width="15.7109375" customWidth="1"/>
    <col min="9" max="9" width="15.5703125" customWidth="1"/>
    <col min="10" max="10" width="18.140625" customWidth="1"/>
    <col min="12" max="12" width="38.7109375" customWidth="1"/>
    <col min="13" max="15" width="18.28515625" customWidth="1"/>
  </cols>
  <sheetData>
    <row r="1" spans="1:15" x14ac:dyDescent="0.25">
      <c r="A1" s="30" t="s">
        <v>40</v>
      </c>
      <c r="B1" s="31"/>
      <c r="C1" s="31"/>
      <c r="D1" s="31"/>
      <c r="E1" s="31"/>
      <c r="F1" s="32"/>
    </row>
    <row r="2" spans="1:15" x14ac:dyDescent="0.25">
      <c r="A2" s="6" t="s">
        <v>6</v>
      </c>
      <c r="B2" s="6" t="s">
        <v>0</v>
      </c>
      <c r="C2" s="6" t="s">
        <v>1</v>
      </c>
      <c r="D2" s="6" t="s">
        <v>5</v>
      </c>
      <c r="E2" s="6" t="s">
        <v>2</v>
      </c>
      <c r="F2" s="6" t="s">
        <v>3</v>
      </c>
    </row>
    <row r="3" spans="1:15" x14ac:dyDescent="0.25">
      <c r="A3" s="1" t="s">
        <v>8</v>
      </c>
      <c r="B3" s="2">
        <v>7452</v>
      </c>
      <c r="C3" s="2">
        <v>5140</v>
      </c>
      <c r="D3" s="2">
        <v>4716</v>
      </c>
      <c r="E3" s="2">
        <v>2340</v>
      </c>
      <c r="F3" s="2">
        <v>8495</v>
      </c>
    </row>
    <row r="4" spans="1:15" x14ac:dyDescent="0.25">
      <c r="A4" s="1" t="s">
        <v>7</v>
      </c>
      <c r="B4" s="2">
        <f>18000+5500+13500+(22000*0.2)</f>
        <v>41400</v>
      </c>
      <c r="C4" s="3">
        <f>32000+4700+14700</f>
        <v>51400</v>
      </c>
      <c r="D4" s="4">
        <f>(18*12500/60)+(33*1800/60)+(36/60*5200)</f>
        <v>7860</v>
      </c>
      <c r="E4" s="4">
        <f>12500+1800+5200</f>
        <v>19500</v>
      </c>
      <c r="F4" s="2">
        <f>(12500*3.9)+(1800*4.8)+(5200*5.3)</f>
        <v>84950</v>
      </c>
    </row>
    <row r="5" spans="1:15" x14ac:dyDescent="0.25">
      <c r="A5" s="11" t="s">
        <v>4</v>
      </c>
      <c r="B5" s="13">
        <f>B3/B4</f>
        <v>0.18</v>
      </c>
      <c r="C5" s="18">
        <f t="shared" ref="C5:F5" si="0">C3/C4</f>
        <v>0.1</v>
      </c>
      <c r="D5" s="13">
        <f t="shared" si="0"/>
        <v>0.6</v>
      </c>
      <c r="E5" s="13">
        <f t="shared" si="0"/>
        <v>0.12</v>
      </c>
      <c r="F5" s="13">
        <f t="shared" si="0"/>
        <v>0.1</v>
      </c>
    </row>
    <row r="6" spans="1:15" x14ac:dyDescent="0.25">
      <c r="D6" s="33"/>
    </row>
    <row r="9" spans="1:15" x14ac:dyDescent="0.25">
      <c r="A9" s="29" t="s">
        <v>11</v>
      </c>
      <c r="B9" s="29"/>
      <c r="C9" s="29"/>
      <c r="D9" s="29"/>
      <c r="G9" s="29" t="s">
        <v>41</v>
      </c>
      <c r="H9" s="29"/>
      <c r="I9" s="29"/>
      <c r="J9" s="29"/>
      <c r="L9" s="29" t="s">
        <v>42</v>
      </c>
      <c r="M9" s="29"/>
      <c r="N9" s="29"/>
      <c r="O9" s="29"/>
    </row>
    <row r="10" spans="1:15" x14ac:dyDescent="0.25">
      <c r="A10" s="1"/>
      <c r="B10" s="8" t="s">
        <v>9</v>
      </c>
      <c r="C10" s="8" t="s">
        <v>26</v>
      </c>
      <c r="D10" s="8" t="s">
        <v>10</v>
      </c>
      <c r="G10" s="1"/>
      <c r="H10" s="14" t="s">
        <v>9</v>
      </c>
      <c r="I10" s="14" t="s">
        <v>26</v>
      </c>
      <c r="J10" s="14" t="s">
        <v>10</v>
      </c>
      <c r="L10" s="1"/>
      <c r="M10" s="14" t="s">
        <v>9</v>
      </c>
      <c r="N10" s="14" t="s">
        <v>26</v>
      </c>
      <c r="O10" s="14" t="s">
        <v>10</v>
      </c>
    </row>
    <row r="11" spans="1:15" x14ac:dyDescent="0.25">
      <c r="A11" s="1" t="s">
        <v>12</v>
      </c>
      <c r="B11" s="1">
        <v>30000</v>
      </c>
      <c r="C11" s="2">
        <f>D11/B11</f>
        <v>0.6</v>
      </c>
      <c r="D11" s="2">
        <v>18000</v>
      </c>
      <c r="G11" s="1" t="s">
        <v>12</v>
      </c>
      <c r="H11" s="1">
        <v>5000</v>
      </c>
      <c r="I11" s="2">
        <f>J11/H11</f>
        <v>1.1000000000000001</v>
      </c>
      <c r="J11" s="2">
        <v>5500</v>
      </c>
      <c r="L11" s="1" t="s">
        <v>12</v>
      </c>
      <c r="M11" s="1">
        <v>15000</v>
      </c>
      <c r="N11" s="2">
        <f>+O11/M11</f>
        <v>0.9</v>
      </c>
      <c r="O11" s="2">
        <v>13500</v>
      </c>
    </row>
    <row r="12" spans="1:15" ht="15.75" customHeight="1" x14ac:dyDescent="0.25">
      <c r="A12" s="9" t="s">
        <v>13</v>
      </c>
      <c r="B12" s="10">
        <f>D11</f>
        <v>18000</v>
      </c>
      <c r="C12" s="2">
        <f>B5</f>
        <v>0.18</v>
      </c>
      <c r="D12" s="2">
        <f>B12*C12</f>
        <v>3240</v>
      </c>
      <c r="G12" s="9" t="s">
        <v>13</v>
      </c>
      <c r="H12" s="10">
        <f>J11</f>
        <v>5500</v>
      </c>
      <c r="I12" s="2">
        <f>B5</f>
        <v>0.18</v>
      </c>
      <c r="J12" s="2">
        <f>H12*I12</f>
        <v>990</v>
      </c>
      <c r="L12" s="9" t="s">
        <v>13</v>
      </c>
      <c r="M12" s="10">
        <f>+O11</f>
        <v>13500</v>
      </c>
      <c r="N12" s="2">
        <f>+I12</f>
        <v>0.18</v>
      </c>
      <c r="O12" s="2">
        <f>+M12*N12</f>
        <v>2430</v>
      </c>
    </row>
    <row r="13" spans="1:15" x14ac:dyDescent="0.25">
      <c r="A13" s="11" t="s">
        <v>14</v>
      </c>
      <c r="B13" s="11">
        <f>B11</f>
        <v>30000</v>
      </c>
      <c r="C13" s="13">
        <f>D13/B13</f>
        <v>0.70799999999999996</v>
      </c>
      <c r="D13" s="18">
        <f>D11+D12</f>
        <v>21240</v>
      </c>
      <c r="G13" s="11" t="s">
        <v>14</v>
      </c>
      <c r="H13" s="11">
        <f>H11</f>
        <v>5000</v>
      </c>
      <c r="I13" s="13">
        <f>J13/H13</f>
        <v>1.298</v>
      </c>
      <c r="J13" s="18">
        <f>J11+J12</f>
        <v>6490</v>
      </c>
      <c r="L13" s="11" t="s">
        <v>14</v>
      </c>
      <c r="M13" s="11">
        <f>+M11</f>
        <v>15000</v>
      </c>
      <c r="N13" s="13">
        <f>+O13/M13</f>
        <v>1.0620000000000001</v>
      </c>
      <c r="O13" s="18">
        <f>+O11+O12</f>
        <v>15930</v>
      </c>
    </row>
    <row r="15" spans="1:15" x14ac:dyDescent="0.25">
      <c r="A15" s="29" t="s">
        <v>23</v>
      </c>
      <c r="B15" s="29"/>
      <c r="C15" s="29"/>
      <c r="D15" s="29"/>
      <c r="G15" s="29" t="s">
        <v>43</v>
      </c>
      <c r="H15" s="29"/>
      <c r="I15" s="29"/>
      <c r="J15" s="29"/>
    </row>
    <row r="16" spans="1:15" x14ac:dyDescent="0.25">
      <c r="A16" s="6" t="s">
        <v>16</v>
      </c>
      <c r="B16" s="8" t="s">
        <v>9</v>
      </c>
      <c r="C16" s="8" t="s">
        <v>26</v>
      </c>
      <c r="D16" s="8" t="s">
        <v>10</v>
      </c>
      <c r="G16" s="7" t="s">
        <v>16</v>
      </c>
      <c r="H16" s="14" t="s">
        <v>9</v>
      </c>
      <c r="I16" s="14" t="s">
        <v>26</v>
      </c>
      <c r="J16" s="14" t="s">
        <v>10</v>
      </c>
      <c r="L16" s="29" t="s">
        <v>44</v>
      </c>
      <c r="M16" s="29"/>
      <c r="N16" s="29"/>
      <c r="O16" s="29"/>
    </row>
    <row r="17" spans="1:15" x14ac:dyDescent="0.25">
      <c r="A17" s="1" t="s">
        <v>22</v>
      </c>
      <c r="B17" s="1">
        <v>2800</v>
      </c>
      <c r="C17" s="2"/>
      <c r="D17" s="2">
        <v>1720</v>
      </c>
      <c r="G17" s="1" t="s">
        <v>22</v>
      </c>
      <c r="H17" s="1">
        <v>300</v>
      </c>
      <c r="I17" s="2"/>
      <c r="J17" s="2">
        <v>360</v>
      </c>
      <c r="L17" s="7" t="s">
        <v>16</v>
      </c>
      <c r="M17" s="14" t="s">
        <v>9</v>
      </c>
      <c r="N17" s="14" t="s">
        <v>26</v>
      </c>
      <c r="O17" s="14" t="s">
        <v>10</v>
      </c>
    </row>
    <row r="18" spans="1:15" x14ac:dyDescent="0.25">
      <c r="A18" s="9" t="s">
        <v>17</v>
      </c>
      <c r="B18" s="1">
        <f>+B13</f>
        <v>30000</v>
      </c>
      <c r="C18" s="2">
        <f>+C13</f>
        <v>0.70799999999999996</v>
      </c>
      <c r="D18" s="2">
        <f>+B18*C18</f>
        <v>21240</v>
      </c>
      <c r="G18" s="9" t="s">
        <v>17</v>
      </c>
      <c r="H18" s="1">
        <f>+H13</f>
        <v>5000</v>
      </c>
      <c r="I18" s="2">
        <f>+I13</f>
        <v>1.298</v>
      </c>
      <c r="J18" s="2">
        <f>+H18*I18</f>
        <v>6490</v>
      </c>
      <c r="L18" s="1" t="s">
        <v>22</v>
      </c>
      <c r="M18" s="1">
        <v>800</v>
      </c>
      <c r="N18" s="2"/>
      <c r="O18" s="2">
        <v>835</v>
      </c>
    </row>
    <row r="19" spans="1:15" x14ac:dyDescent="0.25">
      <c r="A19" s="19" t="s">
        <v>18</v>
      </c>
      <c r="B19" s="19">
        <f>+B17+B18</f>
        <v>32800</v>
      </c>
      <c r="C19" s="20">
        <f>+D19/B19</f>
        <v>0.7</v>
      </c>
      <c r="D19" s="21">
        <f>+D17+D18</f>
        <v>22960</v>
      </c>
      <c r="G19" s="19" t="s">
        <v>18</v>
      </c>
      <c r="H19" s="19">
        <f>+H17+H18</f>
        <v>5300</v>
      </c>
      <c r="I19" s="20">
        <f>+J19/H19</f>
        <v>1.2924528301886793</v>
      </c>
      <c r="J19" s="21">
        <f>+J17+J18</f>
        <v>6850</v>
      </c>
      <c r="L19" s="9" t="s">
        <v>17</v>
      </c>
      <c r="M19" s="1">
        <f>+M13</f>
        <v>15000</v>
      </c>
      <c r="N19" s="2">
        <f>+N13</f>
        <v>1.0620000000000001</v>
      </c>
      <c r="O19" s="2">
        <f>+M19*N19</f>
        <v>15930</v>
      </c>
    </row>
    <row r="20" spans="1:15" x14ac:dyDescent="0.25">
      <c r="A20" s="6" t="s">
        <v>19</v>
      </c>
      <c r="B20" s="8"/>
      <c r="C20" s="8"/>
      <c r="D20" s="8"/>
      <c r="G20" s="7" t="s">
        <v>19</v>
      </c>
      <c r="H20" s="14"/>
      <c r="I20" s="14"/>
      <c r="J20" s="14"/>
      <c r="L20" s="19" t="s">
        <v>18</v>
      </c>
      <c r="M20" s="19">
        <f>+M18+M19</f>
        <v>15800</v>
      </c>
      <c r="N20" s="20">
        <f>+O20/M20</f>
        <v>1.0610759493670887</v>
      </c>
      <c r="O20" s="21">
        <f>+O18+O19</f>
        <v>16765</v>
      </c>
    </row>
    <row r="21" spans="1:15" x14ac:dyDescent="0.25">
      <c r="A21" s="11" t="s">
        <v>20</v>
      </c>
      <c r="B21" s="11">
        <v>32000</v>
      </c>
      <c r="C21" s="12">
        <f>+C19</f>
        <v>0.7</v>
      </c>
      <c r="D21" s="12">
        <f>+B21*C21</f>
        <v>22400</v>
      </c>
      <c r="G21" s="11" t="s">
        <v>20</v>
      </c>
      <c r="H21" s="11">
        <v>4700</v>
      </c>
      <c r="I21" s="12">
        <f>+I19</f>
        <v>1.2924528301886793</v>
      </c>
      <c r="J21" s="12">
        <f>+H21*I21</f>
        <v>6074.5283018867931</v>
      </c>
      <c r="L21" s="7" t="s">
        <v>19</v>
      </c>
      <c r="M21" s="14"/>
      <c r="N21" s="14"/>
      <c r="O21" s="14"/>
    </row>
    <row r="22" spans="1:15" x14ac:dyDescent="0.25">
      <c r="A22" s="9" t="s">
        <v>21</v>
      </c>
      <c r="B22" s="1">
        <f>+B19-B21</f>
        <v>800</v>
      </c>
      <c r="C22" s="10">
        <f>+C21</f>
        <v>0.7</v>
      </c>
      <c r="D22" s="10">
        <f>+B22*C22</f>
        <v>560</v>
      </c>
      <c r="G22" s="9" t="s">
        <v>21</v>
      </c>
      <c r="H22" s="1">
        <f>+H19-H21</f>
        <v>600</v>
      </c>
      <c r="I22" s="10">
        <f>+J22/H22</f>
        <v>1.2924528301886782</v>
      </c>
      <c r="J22" s="10">
        <f>+J19-J21</f>
        <v>775.47169811320691</v>
      </c>
      <c r="L22" s="11" t="s">
        <v>20</v>
      </c>
      <c r="M22" s="11">
        <v>14700</v>
      </c>
      <c r="N22" s="12">
        <f>+N20</f>
        <v>1.0610759493670887</v>
      </c>
      <c r="O22" s="12">
        <f>+M22*N22</f>
        <v>15597.816455696204</v>
      </c>
    </row>
    <row r="23" spans="1:15" x14ac:dyDescent="0.25">
      <c r="A23" s="5" t="s">
        <v>24</v>
      </c>
      <c r="B23" s="1">
        <f>+B21+B22</f>
        <v>32800</v>
      </c>
      <c r="C23" s="1"/>
      <c r="D23" s="10">
        <f>+D21+D22</f>
        <v>22960</v>
      </c>
      <c r="G23" s="5" t="s">
        <v>24</v>
      </c>
      <c r="H23" s="1">
        <f>+H21+H22</f>
        <v>5300</v>
      </c>
      <c r="I23" s="1"/>
      <c r="J23" s="10">
        <f>+J21+J22</f>
        <v>6850</v>
      </c>
      <c r="L23" s="9" t="s">
        <v>21</v>
      </c>
      <c r="M23" s="1">
        <f>+M20-M22</f>
        <v>1100</v>
      </c>
      <c r="N23" s="10">
        <f>+N20</f>
        <v>1.0610759493670887</v>
      </c>
      <c r="O23" s="10">
        <f>+N23*M23</f>
        <v>1167.1835443037976</v>
      </c>
    </row>
    <row r="24" spans="1:15" x14ac:dyDescent="0.25">
      <c r="L24" s="5" t="s">
        <v>24</v>
      </c>
      <c r="M24" s="1">
        <f>+M22+M23</f>
        <v>15800</v>
      </c>
      <c r="N24" s="1"/>
      <c r="O24" s="10">
        <f>+O22+O23</f>
        <v>16765</v>
      </c>
    </row>
    <row r="26" spans="1:15" x14ac:dyDescent="0.25">
      <c r="A26" s="29" t="s">
        <v>15</v>
      </c>
      <c r="B26" s="29"/>
      <c r="C26" s="29"/>
      <c r="D26" s="29"/>
      <c r="G26" s="29" t="s">
        <v>25</v>
      </c>
      <c r="H26" s="29"/>
      <c r="I26" s="29"/>
      <c r="J26" s="29"/>
    </row>
    <row r="27" spans="1:15" x14ac:dyDescent="0.25">
      <c r="A27" s="1"/>
      <c r="B27" s="14" t="s">
        <v>9</v>
      </c>
      <c r="C27" s="14" t="s">
        <v>26</v>
      </c>
      <c r="D27" s="14" t="s">
        <v>10</v>
      </c>
      <c r="G27" s="6" t="s">
        <v>16</v>
      </c>
      <c r="H27" s="8" t="s">
        <v>9</v>
      </c>
      <c r="I27" s="8" t="s">
        <v>26</v>
      </c>
      <c r="J27" s="8" t="s">
        <v>10</v>
      </c>
    </row>
    <row r="28" spans="1:15" x14ac:dyDescent="0.25">
      <c r="A28" s="1" t="s">
        <v>12</v>
      </c>
      <c r="B28" s="1">
        <v>22000</v>
      </c>
      <c r="C28" s="2">
        <v>0.2</v>
      </c>
      <c r="D28" s="2">
        <f>B28*C28</f>
        <v>4400</v>
      </c>
      <c r="G28" s="1" t="s">
        <v>22</v>
      </c>
      <c r="H28" s="1">
        <v>6000</v>
      </c>
      <c r="I28" s="1"/>
      <c r="J28" s="2">
        <v>1248</v>
      </c>
    </row>
    <row r="29" spans="1:15" ht="30" x14ac:dyDescent="0.25">
      <c r="A29" s="9" t="s">
        <v>13</v>
      </c>
      <c r="B29" s="10">
        <f>D28</f>
        <v>4400</v>
      </c>
      <c r="C29" s="2">
        <f>B5</f>
        <v>0.18</v>
      </c>
      <c r="D29" s="2">
        <f>B29*C29</f>
        <v>792</v>
      </c>
      <c r="G29" s="9" t="s">
        <v>17</v>
      </c>
      <c r="H29" s="1">
        <f>B30</f>
        <v>22000</v>
      </c>
      <c r="I29" s="10">
        <f>C30</f>
        <v>0.23599999999999999</v>
      </c>
      <c r="J29" s="10">
        <f>D30</f>
        <v>5192</v>
      </c>
    </row>
    <row r="30" spans="1:15" x14ac:dyDescent="0.25">
      <c r="A30" s="11" t="s">
        <v>14</v>
      </c>
      <c r="B30" s="11">
        <f>B28</f>
        <v>22000</v>
      </c>
      <c r="C30" s="18">
        <f>D30/B30</f>
        <v>0.23599999999999999</v>
      </c>
      <c r="D30" s="18">
        <f>D28+D29</f>
        <v>5192</v>
      </c>
      <c r="G30" s="19" t="s">
        <v>18</v>
      </c>
      <c r="H30" s="22">
        <f>H28+H29</f>
        <v>28000</v>
      </c>
      <c r="I30" s="23">
        <f>J30/H30</f>
        <v>0.23</v>
      </c>
      <c r="J30" s="24">
        <f>J28+J29</f>
        <v>6440</v>
      </c>
    </row>
    <row r="31" spans="1:15" x14ac:dyDescent="0.25">
      <c r="G31" s="6" t="s">
        <v>19</v>
      </c>
      <c r="H31" s="8"/>
      <c r="I31" s="8"/>
      <c r="J31" s="8"/>
    </row>
    <row r="32" spans="1:15" x14ac:dyDescent="0.25">
      <c r="G32" s="11" t="s">
        <v>20</v>
      </c>
      <c r="H32" s="11">
        <f>12500+1800+5200</f>
        <v>19500</v>
      </c>
      <c r="I32" s="12">
        <f>I30</f>
        <v>0.23</v>
      </c>
      <c r="J32" s="12">
        <f>H32*I32</f>
        <v>4485</v>
      </c>
    </row>
    <row r="33" spans="1:15" x14ac:dyDescent="0.25">
      <c r="G33" s="9" t="s">
        <v>21</v>
      </c>
      <c r="H33" s="1">
        <f>H30-H32</f>
        <v>8500</v>
      </c>
      <c r="I33" s="10">
        <f>I30</f>
        <v>0.23</v>
      </c>
      <c r="J33" s="10">
        <f>H33*I33</f>
        <v>1955</v>
      </c>
    </row>
    <row r="34" spans="1:15" x14ac:dyDescent="0.25">
      <c r="G34" s="5" t="s">
        <v>24</v>
      </c>
      <c r="H34" s="1">
        <f>H32+H33</f>
        <v>28000</v>
      </c>
      <c r="I34" s="1"/>
      <c r="J34" s="10">
        <f>J32+J33</f>
        <v>6440</v>
      </c>
    </row>
    <row r="38" spans="1:15" x14ac:dyDescent="0.25">
      <c r="A38" s="29" t="s">
        <v>46</v>
      </c>
      <c r="B38" s="29"/>
      <c r="C38" s="29"/>
      <c r="D38" s="29"/>
      <c r="G38" s="29" t="s">
        <v>45</v>
      </c>
      <c r="H38" s="29"/>
      <c r="I38" s="29"/>
      <c r="J38" s="29"/>
      <c r="L38" s="29" t="s">
        <v>49</v>
      </c>
      <c r="M38" s="29"/>
      <c r="N38" s="29"/>
      <c r="O38" s="29"/>
    </row>
    <row r="39" spans="1:15" x14ac:dyDescent="0.25">
      <c r="A39" s="1"/>
      <c r="B39" s="8" t="s">
        <v>9</v>
      </c>
      <c r="C39" s="8" t="s">
        <v>26</v>
      </c>
      <c r="D39" s="8" t="s">
        <v>10</v>
      </c>
      <c r="G39" s="1"/>
      <c r="H39" s="14" t="s">
        <v>9</v>
      </c>
      <c r="I39" s="14" t="s">
        <v>26</v>
      </c>
      <c r="J39" s="14" t="s">
        <v>10</v>
      </c>
      <c r="L39" s="1"/>
      <c r="M39" s="14" t="s">
        <v>9</v>
      </c>
      <c r="N39" s="14" t="s">
        <v>26</v>
      </c>
      <c r="O39" s="14" t="s">
        <v>10</v>
      </c>
    </row>
    <row r="40" spans="1:15" x14ac:dyDescent="0.25">
      <c r="A40" s="34" t="s">
        <v>27</v>
      </c>
      <c r="B40" s="25"/>
      <c r="C40" s="25"/>
      <c r="D40" s="25"/>
      <c r="G40" s="34" t="s">
        <v>27</v>
      </c>
      <c r="H40" s="25"/>
      <c r="I40" s="25"/>
      <c r="J40" s="25"/>
      <c r="L40" s="34" t="s">
        <v>27</v>
      </c>
      <c r="M40" s="25"/>
      <c r="N40" s="25"/>
      <c r="O40" s="25"/>
    </row>
    <row r="41" spans="1:15" x14ac:dyDescent="0.25">
      <c r="A41" s="1" t="s">
        <v>28</v>
      </c>
      <c r="B41" s="1">
        <f>B21</f>
        <v>32000</v>
      </c>
      <c r="C41" s="10">
        <f>C21</f>
        <v>0.7</v>
      </c>
      <c r="D41" s="10">
        <f>B41*C41</f>
        <v>22400</v>
      </c>
      <c r="G41" s="1" t="s">
        <v>47</v>
      </c>
      <c r="H41" s="1">
        <f>H21</f>
        <v>4700</v>
      </c>
      <c r="I41" s="10">
        <f>I21</f>
        <v>1.2924528301886793</v>
      </c>
      <c r="J41" s="10">
        <f>H41*I41</f>
        <v>6074.5283018867931</v>
      </c>
      <c r="L41" s="1" t="s">
        <v>50</v>
      </c>
      <c r="M41" s="1">
        <f>M22</f>
        <v>14700</v>
      </c>
      <c r="N41" s="10">
        <f>N22</f>
        <v>1.0610759493670887</v>
      </c>
      <c r="O41" s="10">
        <f>M41*N41</f>
        <v>15597.816455696204</v>
      </c>
    </row>
    <row r="42" spans="1:15" x14ac:dyDescent="0.25">
      <c r="A42" s="1" t="s">
        <v>29</v>
      </c>
      <c r="B42" s="1">
        <f>12500</f>
        <v>12500</v>
      </c>
      <c r="C42" s="10">
        <f>I32</f>
        <v>0.23</v>
      </c>
      <c r="D42" s="10">
        <f>B42*C42</f>
        <v>2875</v>
      </c>
      <c r="G42" s="1" t="s">
        <v>29</v>
      </c>
      <c r="H42" s="1">
        <f>1800</f>
        <v>1800</v>
      </c>
      <c r="I42" s="10">
        <f>C42</f>
        <v>0.23</v>
      </c>
      <c r="J42" s="10">
        <f>H42*I42</f>
        <v>414</v>
      </c>
      <c r="L42" s="1" t="s">
        <v>29</v>
      </c>
      <c r="M42" s="1">
        <f>5200</f>
        <v>5200</v>
      </c>
      <c r="N42" s="10">
        <f>I42</f>
        <v>0.23</v>
      </c>
      <c r="O42" s="10">
        <f>M42*N42</f>
        <v>1196</v>
      </c>
    </row>
    <row r="43" spans="1:15" x14ac:dyDescent="0.25">
      <c r="A43" s="1" t="s">
        <v>30</v>
      </c>
      <c r="B43" s="1">
        <f>32000*9/60/60</f>
        <v>80</v>
      </c>
      <c r="C43" s="2">
        <v>16</v>
      </c>
      <c r="D43" s="10">
        <f>B43*C43</f>
        <v>1280</v>
      </c>
      <c r="G43" s="1" t="s">
        <v>30</v>
      </c>
      <c r="H43" s="35">
        <f>H63*4700/60/60</f>
        <v>15.666666666666666</v>
      </c>
      <c r="I43" s="10">
        <f t="shared" ref="I43:I44" si="1">C43</f>
        <v>16</v>
      </c>
      <c r="J43" s="10">
        <f>H43*I43</f>
        <v>250.66666666666666</v>
      </c>
      <c r="L43" s="1" t="s">
        <v>30</v>
      </c>
      <c r="M43" s="1">
        <f>15/60/60*14700</f>
        <v>61.25</v>
      </c>
      <c r="N43" s="10">
        <f t="shared" ref="N43:N44" si="2">I43</f>
        <v>16</v>
      </c>
      <c r="O43" s="10">
        <f>M43*N43</f>
        <v>980</v>
      </c>
    </row>
    <row r="44" spans="1:15" x14ac:dyDescent="0.25">
      <c r="A44" s="1" t="s">
        <v>31</v>
      </c>
      <c r="B44" s="1">
        <f>18*12500/60/60</f>
        <v>62.5</v>
      </c>
      <c r="C44" s="2">
        <v>21</v>
      </c>
      <c r="D44" s="10">
        <f>B44*C44</f>
        <v>1312.5</v>
      </c>
      <c r="G44" s="1" t="s">
        <v>31</v>
      </c>
      <c r="H44" s="1">
        <f>33*1800/60/60</f>
        <v>16.5</v>
      </c>
      <c r="I44" s="10">
        <f t="shared" si="1"/>
        <v>21</v>
      </c>
      <c r="J44" s="10">
        <f>H44*I44</f>
        <v>346.5</v>
      </c>
      <c r="L44" s="1" t="s">
        <v>31</v>
      </c>
      <c r="M44" s="1">
        <f>36/60/60*5200</f>
        <v>52</v>
      </c>
      <c r="N44" s="10">
        <f t="shared" si="2"/>
        <v>21</v>
      </c>
      <c r="O44" s="10">
        <f>M44*N44</f>
        <v>1092</v>
      </c>
    </row>
    <row r="45" spans="1:15" x14ac:dyDescent="0.25">
      <c r="A45" s="34" t="s">
        <v>32</v>
      </c>
      <c r="B45" s="26"/>
      <c r="C45" s="27"/>
      <c r="D45" s="28"/>
      <c r="G45" s="34" t="s">
        <v>32</v>
      </c>
      <c r="H45" s="26"/>
      <c r="I45" s="27"/>
      <c r="J45" s="28"/>
      <c r="L45" s="34" t="s">
        <v>32</v>
      </c>
      <c r="M45" s="26"/>
      <c r="N45" s="27"/>
      <c r="O45" s="28"/>
    </row>
    <row r="46" spans="1:15" x14ac:dyDescent="0.25">
      <c r="A46" s="1" t="s">
        <v>1</v>
      </c>
      <c r="B46" s="1">
        <f>B41</f>
        <v>32000</v>
      </c>
      <c r="C46" s="10">
        <f>C5</f>
        <v>0.1</v>
      </c>
      <c r="D46" s="10">
        <f>B46*C46</f>
        <v>3200</v>
      </c>
      <c r="G46" s="1" t="s">
        <v>1</v>
      </c>
      <c r="H46" s="1">
        <f>H41</f>
        <v>4700</v>
      </c>
      <c r="I46" s="10">
        <f>C46</f>
        <v>0.1</v>
      </c>
      <c r="J46" s="10">
        <f>H46*I46</f>
        <v>470</v>
      </c>
      <c r="L46" s="1" t="s">
        <v>1</v>
      </c>
      <c r="M46" s="1">
        <f>M41</f>
        <v>14700</v>
      </c>
      <c r="N46" s="10">
        <f>I46</f>
        <v>0.1</v>
      </c>
      <c r="O46" s="10">
        <f>M46*N46</f>
        <v>1470</v>
      </c>
    </row>
    <row r="47" spans="1:15" x14ac:dyDescent="0.25">
      <c r="A47" s="1" t="s">
        <v>5</v>
      </c>
      <c r="B47" s="1">
        <f>B44*60</f>
        <v>3750</v>
      </c>
      <c r="C47" s="10">
        <f>D5</f>
        <v>0.6</v>
      </c>
      <c r="D47" s="10">
        <f t="shared" ref="D47:D48" si="3">B47*C47</f>
        <v>2250</v>
      </c>
      <c r="G47" s="1" t="s">
        <v>5</v>
      </c>
      <c r="H47" s="1">
        <f>H44*60</f>
        <v>990</v>
      </c>
      <c r="I47" s="10">
        <f t="shared" ref="I47:I48" si="4">C47</f>
        <v>0.6</v>
      </c>
      <c r="J47" s="10">
        <f t="shared" ref="J47:J48" si="5">H47*I47</f>
        <v>594</v>
      </c>
      <c r="L47" s="1" t="s">
        <v>5</v>
      </c>
      <c r="M47" s="1">
        <f>M44*60</f>
        <v>3120</v>
      </c>
      <c r="N47" s="10">
        <f t="shared" ref="N47:N48" si="6">I47</f>
        <v>0.6</v>
      </c>
      <c r="O47" s="10">
        <f>M47*N47</f>
        <v>1872</v>
      </c>
    </row>
    <row r="48" spans="1:15" x14ac:dyDescent="0.25">
      <c r="A48" s="1" t="s">
        <v>2</v>
      </c>
      <c r="B48" s="1">
        <f>B42</f>
        <v>12500</v>
      </c>
      <c r="C48" s="10">
        <f>E5</f>
        <v>0.12</v>
      </c>
      <c r="D48" s="10">
        <f t="shared" si="3"/>
        <v>1500</v>
      </c>
      <c r="G48" s="1" t="s">
        <v>2</v>
      </c>
      <c r="H48" s="1">
        <f>H42</f>
        <v>1800</v>
      </c>
      <c r="I48" s="10">
        <f t="shared" si="4"/>
        <v>0.12</v>
      </c>
      <c r="J48" s="10">
        <f t="shared" si="5"/>
        <v>216</v>
      </c>
      <c r="L48" s="1" t="s">
        <v>2</v>
      </c>
      <c r="M48" s="1">
        <f>M42</f>
        <v>5200</v>
      </c>
      <c r="N48" s="10">
        <f t="shared" si="6"/>
        <v>0.12</v>
      </c>
      <c r="O48" s="10">
        <f>M48*N48</f>
        <v>624</v>
      </c>
    </row>
    <row r="49" spans="1:15" x14ac:dyDescent="0.25">
      <c r="A49" s="11" t="s">
        <v>33</v>
      </c>
      <c r="B49" s="11">
        <f>B48</f>
        <v>12500</v>
      </c>
      <c r="C49" s="12">
        <f>D49/B49</f>
        <v>2.7854000000000001</v>
      </c>
      <c r="D49" s="12">
        <f>SUM(D41:D44)+SUM(D46:D48)</f>
        <v>34817.5</v>
      </c>
      <c r="G49" s="11" t="s">
        <v>33</v>
      </c>
      <c r="H49" s="11">
        <f>H48</f>
        <v>1800</v>
      </c>
      <c r="I49" s="12">
        <f>J49/H49</f>
        <v>4.6476083158630335</v>
      </c>
      <c r="J49" s="12">
        <f>SUM(J41:J44)+SUM(J46:J48)</f>
        <v>8365.6949685534601</v>
      </c>
      <c r="L49" s="11" t="s">
        <v>33</v>
      </c>
      <c r="M49" s="11">
        <f>M48</f>
        <v>5200</v>
      </c>
      <c r="N49" s="12">
        <f>O49/M49</f>
        <v>4.3907339337877316</v>
      </c>
      <c r="O49" s="12">
        <f>SUM(O46:O48)+SUM(O41:O44)</f>
        <v>22831.816455696204</v>
      </c>
    </row>
    <row r="50" spans="1:15" x14ac:dyDescent="0.25">
      <c r="A50" s="1" t="s">
        <v>34</v>
      </c>
      <c r="B50" s="1">
        <f>3.9*12500</f>
        <v>48750</v>
      </c>
      <c r="C50" s="17">
        <v>0.05</v>
      </c>
      <c r="D50" s="2">
        <f>B50*C50</f>
        <v>2437.5</v>
      </c>
      <c r="G50" s="1" t="s">
        <v>34</v>
      </c>
      <c r="H50" s="1">
        <f>4.8*1800</f>
        <v>8640</v>
      </c>
      <c r="I50" s="17">
        <f>C50</f>
        <v>0.05</v>
      </c>
      <c r="J50" s="2">
        <f>H50*I50</f>
        <v>432</v>
      </c>
      <c r="L50" s="1" t="s">
        <v>34</v>
      </c>
      <c r="M50" s="1">
        <f>5200*5.3</f>
        <v>27560</v>
      </c>
      <c r="N50" s="17">
        <f>I50</f>
        <v>0.05</v>
      </c>
      <c r="O50" s="2">
        <f>M50*N50</f>
        <v>1378</v>
      </c>
    </row>
    <row r="51" spans="1:15" x14ac:dyDescent="0.25">
      <c r="A51" s="1" t="s">
        <v>35</v>
      </c>
      <c r="B51" s="15">
        <f>B50</f>
        <v>48750</v>
      </c>
      <c r="C51" s="16">
        <f>F5</f>
        <v>0.1</v>
      </c>
      <c r="D51" s="2">
        <f>B51*C51</f>
        <v>4875</v>
      </c>
      <c r="G51" s="1" t="s">
        <v>35</v>
      </c>
      <c r="H51" s="15">
        <f>H50</f>
        <v>8640</v>
      </c>
      <c r="I51" s="16">
        <f>C51</f>
        <v>0.1</v>
      </c>
      <c r="J51" s="2">
        <f>H51*I51</f>
        <v>864</v>
      </c>
      <c r="L51" s="1" t="s">
        <v>35</v>
      </c>
      <c r="M51" s="15">
        <f>M50</f>
        <v>27560</v>
      </c>
      <c r="N51" s="16">
        <f>I51</f>
        <v>0.1</v>
      </c>
      <c r="O51" s="2">
        <f>M51*N51</f>
        <v>2756</v>
      </c>
    </row>
    <row r="52" spans="1:15" x14ac:dyDescent="0.25">
      <c r="A52" s="11" t="s">
        <v>36</v>
      </c>
      <c r="B52" s="11">
        <f>B49</f>
        <v>12500</v>
      </c>
      <c r="C52" s="18">
        <f>D52/B52</f>
        <v>3.3704000000000001</v>
      </c>
      <c r="D52" s="12">
        <f>D49+D50+D51</f>
        <v>42130</v>
      </c>
      <c r="G52" s="11" t="s">
        <v>36</v>
      </c>
      <c r="H52" s="11">
        <f>H49</f>
        <v>1800</v>
      </c>
      <c r="I52" s="18">
        <f>J52/H52</f>
        <v>5.3676083158630332</v>
      </c>
      <c r="J52" s="12">
        <f>J50+J51+J49</f>
        <v>9661.6949685534601</v>
      </c>
      <c r="L52" s="11" t="s">
        <v>36</v>
      </c>
      <c r="M52" s="11">
        <f>M49</f>
        <v>5200</v>
      </c>
      <c r="N52" s="18">
        <f>O52/M52</f>
        <v>5.1857339337877315</v>
      </c>
      <c r="O52" s="12">
        <f>O49+O50+O51</f>
        <v>26965.816455696204</v>
      </c>
    </row>
    <row r="54" spans="1:15" x14ac:dyDescent="0.25">
      <c r="A54" s="29" t="s">
        <v>37</v>
      </c>
      <c r="B54" s="29"/>
      <c r="C54" s="29"/>
      <c r="D54" s="29"/>
      <c r="G54" s="29" t="s">
        <v>48</v>
      </c>
      <c r="H54" s="29"/>
      <c r="I54" s="29"/>
      <c r="J54" s="29"/>
      <c r="L54" s="29" t="s">
        <v>51</v>
      </c>
      <c r="M54" s="29"/>
      <c r="N54" s="29"/>
      <c r="O54" s="29"/>
    </row>
    <row r="55" spans="1:15" x14ac:dyDescent="0.25">
      <c r="A55" s="1"/>
      <c r="B55" s="8" t="s">
        <v>9</v>
      </c>
      <c r="C55" s="8" t="s">
        <v>26</v>
      </c>
      <c r="D55" s="8" t="s">
        <v>10</v>
      </c>
      <c r="G55" s="1"/>
      <c r="H55" s="14" t="s">
        <v>9</v>
      </c>
      <c r="I55" s="14" t="s">
        <v>26</v>
      </c>
      <c r="J55" s="14" t="s">
        <v>10</v>
      </c>
      <c r="L55" s="1"/>
      <c r="M55" s="14" t="s">
        <v>9</v>
      </c>
      <c r="N55" s="14" t="s">
        <v>26</v>
      </c>
      <c r="O55" s="14" t="s">
        <v>10</v>
      </c>
    </row>
    <row r="56" spans="1:15" x14ac:dyDescent="0.25">
      <c r="A56" s="1" t="s">
        <v>38</v>
      </c>
      <c r="B56" s="1">
        <v>12500</v>
      </c>
      <c r="C56" s="2">
        <v>3.9</v>
      </c>
      <c r="D56" s="2">
        <f>B56*C56</f>
        <v>48750</v>
      </c>
      <c r="G56" s="1" t="s">
        <v>38</v>
      </c>
      <c r="H56" s="1">
        <v>1800</v>
      </c>
      <c r="I56" s="2">
        <v>4.8</v>
      </c>
      <c r="J56" s="2">
        <f>H56*I56</f>
        <v>8640</v>
      </c>
      <c r="L56" s="1" t="s">
        <v>38</v>
      </c>
      <c r="M56" s="1">
        <v>5200</v>
      </c>
      <c r="N56" s="2">
        <v>5.3</v>
      </c>
      <c r="O56" s="2">
        <f>M56*N56</f>
        <v>27560</v>
      </c>
    </row>
    <row r="57" spans="1:15" x14ac:dyDescent="0.25">
      <c r="A57" s="1" t="s">
        <v>36</v>
      </c>
      <c r="B57" s="1">
        <f>B52</f>
        <v>12500</v>
      </c>
      <c r="C57" s="2">
        <f>C52</f>
        <v>3.3704000000000001</v>
      </c>
      <c r="D57" s="2">
        <f>D52</f>
        <v>42130</v>
      </c>
      <c r="G57" s="1" t="s">
        <v>36</v>
      </c>
      <c r="H57" s="1">
        <f>H52</f>
        <v>1800</v>
      </c>
      <c r="I57" s="2">
        <f>I52</f>
        <v>5.3676083158630332</v>
      </c>
      <c r="J57" s="2">
        <f>H57*I57</f>
        <v>9661.6949685534601</v>
      </c>
      <c r="L57" s="1" t="s">
        <v>36</v>
      </c>
      <c r="M57" s="1">
        <f>+M52</f>
        <v>5200</v>
      </c>
      <c r="N57" s="2">
        <f>+N52</f>
        <v>5.1857339337877315</v>
      </c>
      <c r="O57" s="2">
        <f>+O52</f>
        <v>26965.816455696204</v>
      </c>
    </row>
    <row r="58" spans="1:15" x14ac:dyDescent="0.25">
      <c r="A58" s="11" t="s">
        <v>39</v>
      </c>
      <c r="B58" s="11">
        <f>B57</f>
        <v>12500</v>
      </c>
      <c r="C58" s="18">
        <f>D58/B58</f>
        <v>0.52959999999999996</v>
      </c>
      <c r="D58" s="18">
        <f>D56-D57</f>
        <v>6620</v>
      </c>
      <c r="G58" s="11" t="s">
        <v>39</v>
      </c>
      <c r="H58" s="11">
        <f>H57</f>
        <v>1800</v>
      </c>
      <c r="I58" s="18">
        <f>J58/H58</f>
        <v>-0.5676083158630334</v>
      </c>
      <c r="J58" s="18">
        <f>J56-J57</f>
        <v>-1021.6949685534601</v>
      </c>
      <c r="L58" s="11" t="s">
        <v>39</v>
      </c>
      <c r="M58" s="11">
        <f>+M57</f>
        <v>5200</v>
      </c>
      <c r="N58" s="18">
        <f>+O58/M58</f>
        <v>0.11426606621226851</v>
      </c>
      <c r="O58" s="18">
        <f>+O56-O57</f>
        <v>594.18354430379622</v>
      </c>
    </row>
    <row r="63" spans="1:15" ht="30" customHeight="1" x14ac:dyDescent="0.25">
      <c r="G63" s="36" t="s">
        <v>53</v>
      </c>
      <c r="H63" s="37">
        <v>12</v>
      </c>
    </row>
    <row r="64" spans="1:15" x14ac:dyDescent="0.25">
      <c r="G64" s="36"/>
      <c r="H64" s="37"/>
    </row>
    <row r="68" spans="7:8" x14ac:dyDescent="0.25">
      <c r="G68" s="38" t="s">
        <v>52</v>
      </c>
      <c r="H68" s="39">
        <f>D58+J58+O58</f>
        <v>6192.4885757503362</v>
      </c>
    </row>
  </sheetData>
  <mergeCells count="23">
    <mergeCell ref="L54:O54"/>
    <mergeCell ref="H63:H64"/>
    <mergeCell ref="G63:G64"/>
    <mergeCell ref="A15:D15"/>
    <mergeCell ref="G26:J26"/>
    <mergeCell ref="A38:D38"/>
    <mergeCell ref="G9:J9"/>
    <mergeCell ref="L9:O9"/>
    <mergeCell ref="G15:J15"/>
    <mergeCell ref="L16:O16"/>
    <mergeCell ref="A26:D26"/>
    <mergeCell ref="G38:J38"/>
    <mergeCell ref="H40:J40"/>
    <mergeCell ref="H45:J45"/>
    <mergeCell ref="G54:J54"/>
    <mergeCell ref="L38:O38"/>
    <mergeCell ref="M40:O40"/>
    <mergeCell ref="M45:O45"/>
    <mergeCell ref="B40:D40"/>
    <mergeCell ref="B45:D45"/>
    <mergeCell ref="A54:D54"/>
    <mergeCell ref="A1:F1"/>
    <mergeCell ref="A9:D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NOEL Eric</cp:lastModifiedBy>
  <dcterms:created xsi:type="dcterms:W3CDTF">2019-11-06T20:34:54Z</dcterms:created>
  <dcterms:modified xsi:type="dcterms:W3CDTF">2022-05-02T12:24:35Z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5f68f443-08fa-4e82-96ea-45f3147fe1a3</vt:lpwstr>
  </property>
</Properties>
</file>